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 autoCompressPictures="0"/>
  <bookViews>
    <workbookView xWindow="-60" yWindow="-60" windowWidth="20610" windowHeight="11220" tabRatio="769" activeTab="1"/>
  </bookViews>
  <sheets>
    <sheet name="Региональное меню" sheetId="21" r:id="rId1"/>
    <sheet name="Лист1" sheetId="22" r:id="rId2"/>
  </sheets>
  <definedNames>
    <definedName name="_xlnm.Print_Area" localSheetId="1">Лист1!$A$26:$L$128</definedName>
    <definedName name="_xlnm.Print_Area" localSheetId="0">'Региональное меню'!$A$1:$L$25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8" i="22"/>
  <c r="G116"/>
  <c r="F116"/>
  <c r="E116"/>
  <c r="J115"/>
  <c r="L114"/>
  <c r="K114"/>
  <c r="I114"/>
  <c r="H114"/>
  <c r="G114"/>
  <c r="F114"/>
  <c r="E114"/>
  <c r="D114"/>
  <c r="L113"/>
  <c r="K113"/>
  <c r="J113"/>
  <c r="I113"/>
  <c r="H113"/>
  <c r="G113"/>
  <c r="F113"/>
  <c r="E113"/>
  <c r="D113"/>
  <c r="L112"/>
  <c r="K112"/>
  <c r="J112"/>
  <c r="I112"/>
  <c r="H112"/>
  <c r="G112"/>
  <c r="F112"/>
  <c r="E112"/>
  <c r="D112"/>
  <c r="L111"/>
  <c r="L118" s="1"/>
  <c r="K111"/>
  <c r="J111"/>
  <c r="I111"/>
  <c r="H111"/>
  <c r="H118" s="1"/>
  <c r="G111"/>
  <c r="F111"/>
  <c r="E111"/>
  <c r="D111"/>
  <c r="D118" s="1"/>
  <c r="C108"/>
  <c r="L105"/>
  <c r="K105"/>
  <c r="I105"/>
  <c r="H105"/>
  <c r="G105"/>
  <c r="F105"/>
  <c r="E105"/>
  <c r="D105"/>
  <c r="L104"/>
  <c r="K104"/>
  <c r="J104"/>
  <c r="I104"/>
  <c r="H104"/>
  <c r="G104"/>
  <c r="F104"/>
  <c r="E104"/>
  <c r="D104"/>
  <c r="L103"/>
  <c r="K103"/>
  <c r="J103"/>
  <c r="I103"/>
  <c r="H103"/>
  <c r="G103"/>
  <c r="F103"/>
  <c r="E103"/>
  <c r="D103"/>
  <c r="C100"/>
  <c r="L98"/>
  <c r="J98"/>
  <c r="I98"/>
  <c r="H98"/>
  <c r="G98"/>
  <c r="F98"/>
  <c r="E98"/>
  <c r="D98"/>
  <c r="L97"/>
  <c r="K97"/>
  <c r="I97"/>
  <c r="H97"/>
  <c r="G97"/>
  <c r="F97"/>
  <c r="E97"/>
  <c r="D97"/>
  <c r="L96"/>
  <c r="K96"/>
  <c r="J96"/>
  <c r="I96"/>
  <c r="H96"/>
  <c r="G96"/>
  <c r="E96"/>
  <c r="L95"/>
  <c r="K95"/>
  <c r="J95"/>
  <c r="I95"/>
  <c r="H95"/>
  <c r="G95"/>
  <c r="F95"/>
  <c r="E95"/>
  <c r="D95"/>
  <c r="L94"/>
  <c r="K94"/>
  <c r="J94"/>
  <c r="I94"/>
  <c r="I100" s="1"/>
  <c r="H94"/>
  <c r="G94"/>
  <c r="F94"/>
  <c r="E94"/>
  <c r="E100" s="1"/>
  <c r="D94"/>
  <c r="C91"/>
  <c r="K89"/>
  <c r="J89"/>
  <c r="L87"/>
  <c r="K87"/>
  <c r="J87"/>
  <c r="I87"/>
  <c r="H87"/>
  <c r="G87"/>
  <c r="F87"/>
  <c r="E87"/>
  <c r="D87"/>
  <c r="L86"/>
  <c r="K86"/>
  <c r="J86"/>
  <c r="I86"/>
  <c r="H86"/>
  <c r="G86"/>
  <c r="F86"/>
  <c r="E86"/>
  <c r="D86"/>
  <c r="C83"/>
  <c r="K81"/>
  <c r="J81"/>
  <c r="K80"/>
  <c r="J80"/>
  <c r="I80"/>
  <c r="H80"/>
  <c r="G80"/>
  <c r="F80"/>
  <c r="E80"/>
  <c r="D80"/>
  <c r="L79"/>
  <c r="K79"/>
  <c r="I79"/>
  <c r="H79"/>
  <c r="G79"/>
  <c r="F79"/>
  <c r="E79"/>
  <c r="D79"/>
  <c r="L78"/>
  <c r="K78"/>
  <c r="I78"/>
  <c r="H78"/>
  <c r="G78"/>
  <c r="F78"/>
  <c r="E78"/>
  <c r="D78"/>
  <c r="L77"/>
  <c r="K77"/>
  <c r="J77"/>
  <c r="I77"/>
  <c r="H77"/>
  <c r="G77"/>
  <c r="F77"/>
  <c r="E77"/>
  <c r="D77"/>
  <c r="L76"/>
  <c r="K76"/>
  <c r="J76"/>
  <c r="I76"/>
  <c r="H76"/>
  <c r="G76"/>
  <c r="F76"/>
  <c r="E76"/>
  <c r="D76"/>
  <c r="C72"/>
  <c r="L69"/>
  <c r="K69"/>
  <c r="I69"/>
  <c r="H69"/>
  <c r="G69"/>
  <c r="F69"/>
  <c r="E69"/>
  <c r="D69"/>
  <c r="K68"/>
  <c r="G68"/>
  <c r="D68"/>
  <c r="L67"/>
  <c r="K67"/>
  <c r="J67"/>
  <c r="I67"/>
  <c r="H67"/>
  <c r="G67"/>
  <c r="F67"/>
  <c r="E67"/>
  <c r="D67"/>
  <c r="L66"/>
  <c r="K66"/>
  <c r="J66"/>
  <c r="I66"/>
  <c r="I72" s="1"/>
  <c r="H66"/>
  <c r="G66"/>
  <c r="F66"/>
  <c r="E66"/>
  <c r="E72" s="1"/>
  <c r="D66"/>
  <c r="C63"/>
  <c r="K61"/>
  <c r="J61"/>
  <c r="L59"/>
  <c r="K59"/>
  <c r="I59"/>
  <c r="H59"/>
  <c r="G59"/>
  <c r="F59"/>
  <c r="E59"/>
  <c r="D59"/>
  <c r="L58"/>
  <c r="K58"/>
  <c r="I58"/>
  <c r="H58"/>
  <c r="G58"/>
  <c r="F58"/>
  <c r="E58"/>
  <c r="D58"/>
  <c r="L57"/>
  <c r="L63" s="1"/>
  <c r="K57"/>
  <c r="J57"/>
  <c r="I57"/>
  <c r="I63" s="1"/>
  <c r="H57"/>
  <c r="G57"/>
  <c r="F57"/>
  <c r="E57"/>
  <c r="E63" s="1"/>
  <c r="D57"/>
  <c r="C54"/>
  <c r="K51"/>
  <c r="J51"/>
  <c r="L50"/>
  <c r="K50"/>
  <c r="I50"/>
  <c r="H50"/>
  <c r="G50"/>
  <c r="F50"/>
  <c r="E50"/>
  <c r="D50"/>
  <c r="L49"/>
  <c r="K49"/>
  <c r="I49"/>
  <c r="H49"/>
  <c r="G49"/>
  <c r="F49"/>
  <c r="E49"/>
  <c r="D49"/>
  <c r="L48"/>
  <c r="L54" s="1"/>
  <c r="K48"/>
  <c r="J48"/>
  <c r="I48"/>
  <c r="I54" s="1"/>
  <c r="H48"/>
  <c r="G48"/>
  <c r="F48"/>
  <c r="E48"/>
  <c r="E54" s="1"/>
  <c r="D48"/>
  <c r="C45"/>
  <c r="L42"/>
  <c r="K42"/>
  <c r="J42"/>
  <c r="I42"/>
  <c r="H42"/>
  <c r="G42"/>
  <c r="F42"/>
  <c r="E42"/>
  <c r="D42"/>
  <c r="L41"/>
  <c r="K41"/>
  <c r="J41"/>
  <c r="I41"/>
  <c r="H41"/>
  <c r="G41"/>
  <c r="F41"/>
  <c r="E41"/>
  <c r="D41"/>
  <c r="L40"/>
  <c r="K40"/>
  <c r="J40"/>
  <c r="I40"/>
  <c r="H40"/>
  <c r="G40"/>
  <c r="F40"/>
  <c r="E40"/>
  <c r="D40"/>
  <c r="L39"/>
  <c r="K39"/>
  <c r="J39"/>
  <c r="I39"/>
  <c r="H39"/>
  <c r="G39"/>
  <c r="F39"/>
  <c r="E39"/>
  <c r="D39"/>
  <c r="C36"/>
  <c r="L33"/>
  <c r="K33"/>
  <c r="I33"/>
  <c r="H33"/>
  <c r="G33"/>
  <c r="F33"/>
  <c r="E33"/>
  <c r="D33"/>
  <c r="L32"/>
  <c r="K32"/>
  <c r="J32"/>
  <c r="I32"/>
  <c r="H32"/>
  <c r="G32"/>
  <c r="F32"/>
  <c r="E32"/>
  <c r="D32"/>
  <c r="L31"/>
  <c r="K31"/>
  <c r="J31"/>
  <c r="I31"/>
  <c r="H31"/>
  <c r="G31"/>
  <c r="F31"/>
  <c r="E31"/>
  <c r="D31"/>
  <c r="L30"/>
  <c r="K30"/>
  <c r="J30"/>
  <c r="I30"/>
  <c r="H30"/>
  <c r="G30"/>
  <c r="F30"/>
  <c r="E30"/>
  <c r="D30"/>
  <c r="F45" l="1"/>
  <c r="J45"/>
  <c r="F36"/>
  <c r="J36"/>
  <c r="D45"/>
  <c r="H45"/>
  <c r="L45"/>
  <c r="G54"/>
  <c r="G63"/>
  <c r="K72"/>
  <c r="G100"/>
  <c r="K100"/>
  <c r="K54"/>
  <c r="K63"/>
  <c r="J54"/>
  <c r="J63"/>
  <c r="L83"/>
  <c r="C119"/>
  <c r="G91"/>
  <c r="K91"/>
  <c r="F100"/>
  <c r="J100"/>
  <c r="E83"/>
  <c r="I83"/>
  <c r="E108"/>
  <c r="I108"/>
  <c r="E45"/>
  <c r="I45"/>
  <c r="D54"/>
  <c r="H54"/>
  <c r="D63"/>
  <c r="H63"/>
  <c r="H72"/>
  <c r="L72"/>
  <c r="F108"/>
  <c r="J108"/>
  <c r="G36"/>
  <c r="C73"/>
  <c r="D83"/>
  <c r="H83"/>
  <c r="F91"/>
  <c r="J91"/>
  <c r="E118"/>
  <c r="I118"/>
  <c r="G72"/>
  <c r="D36"/>
  <c r="H36"/>
  <c r="L36"/>
  <c r="G45"/>
  <c r="K45"/>
  <c r="F118"/>
  <c r="J118"/>
  <c r="E36"/>
  <c r="E73" s="1"/>
  <c r="I36"/>
  <c r="I73" s="1"/>
  <c r="K36"/>
  <c r="F54"/>
  <c r="F63"/>
  <c r="F72"/>
  <c r="J72"/>
  <c r="D72"/>
  <c r="G83"/>
  <c r="K83"/>
  <c r="F83"/>
  <c r="J83"/>
  <c r="E91"/>
  <c r="I91"/>
  <c r="D91"/>
  <c r="H91"/>
  <c r="L91"/>
  <c r="D100"/>
  <c r="H100"/>
  <c r="L100"/>
  <c r="D108"/>
  <c r="H108"/>
  <c r="L108"/>
  <c r="G108"/>
  <c r="K108"/>
  <c r="G118"/>
  <c r="K118"/>
  <c r="J73" l="1"/>
  <c r="E119"/>
  <c r="E122"/>
  <c r="E123" s="1"/>
  <c r="E124" s="1"/>
  <c r="J119"/>
  <c r="D119"/>
  <c r="G122"/>
  <c r="G123" s="1"/>
  <c r="E127" s="1"/>
  <c r="H119"/>
  <c r="D122"/>
  <c r="D123" s="1"/>
  <c r="D124" s="1"/>
  <c r="H73"/>
  <c r="G119"/>
  <c r="L119"/>
  <c r="K73"/>
  <c r="G73"/>
  <c r="D73"/>
  <c r="J122"/>
  <c r="J123" s="1"/>
  <c r="J124" s="1"/>
  <c r="K122"/>
  <c r="K123" s="1"/>
  <c r="K124" s="1"/>
  <c r="L122"/>
  <c r="L123" s="1"/>
  <c r="L124" s="1"/>
  <c r="H122"/>
  <c r="H123" s="1"/>
  <c r="H124" s="1"/>
  <c r="F119"/>
  <c r="F73"/>
  <c r="L73"/>
  <c r="I119"/>
  <c r="I122"/>
  <c r="I123" s="1"/>
  <c r="I124" s="1"/>
  <c r="K119"/>
  <c r="F122"/>
  <c r="F123" s="1"/>
  <c r="F124" s="1"/>
  <c r="G124"/>
</calcChain>
</file>

<file path=xl/sharedStrings.xml><?xml version="1.0" encoding="utf-8"?>
<sst xmlns="http://schemas.openxmlformats.org/spreadsheetml/2006/main" count="215" uniqueCount="120">
  <si>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</si>
  <si>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</si>
  <si>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</si>
  <si>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</si>
  <si>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</si>
  <si>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</si>
  <si>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</si>
  <si>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Б</t>
  </si>
  <si>
    <t>Ж</t>
  </si>
  <si>
    <t>У</t>
  </si>
  <si>
    <t>В1</t>
  </si>
  <si>
    <t>В2</t>
  </si>
  <si>
    <t>С</t>
  </si>
  <si>
    <t>Са</t>
  </si>
  <si>
    <t>Р</t>
  </si>
  <si>
    <t>209М</t>
  </si>
  <si>
    <t>338М</t>
  </si>
  <si>
    <t>Фрукты по сезону</t>
  </si>
  <si>
    <t>377М</t>
  </si>
  <si>
    <t>Чай с сахаром с лимоном</t>
  </si>
  <si>
    <t>Батон "Домашний"</t>
  </si>
  <si>
    <t>Обед</t>
  </si>
  <si>
    <t>Закуска из овощей по сезону</t>
  </si>
  <si>
    <t>268М</t>
  </si>
  <si>
    <t>Биточек мясной</t>
  </si>
  <si>
    <t>302М</t>
  </si>
  <si>
    <t>Каша гречневая рассыпчатая</t>
  </si>
  <si>
    <t>342, 349М</t>
  </si>
  <si>
    <t>Компот плодово-ягодный</t>
  </si>
  <si>
    <t>Итого за Обед</t>
  </si>
  <si>
    <t>День/неделя: Вторник-1</t>
  </si>
  <si>
    <t>376М</t>
  </si>
  <si>
    <t>Чай с сахаром</t>
  </si>
  <si>
    <t>104М</t>
  </si>
  <si>
    <t>Суп картофельный с фрикадельками</t>
  </si>
  <si>
    <t>229М</t>
  </si>
  <si>
    <t xml:space="preserve">Рыба тушеная в томате с овощами </t>
  </si>
  <si>
    <t>128М</t>
  </si>
  <si>
    <t>Картофельное пюре</t>
  </si>
  <si>
    <t>День/неделя: Среда-1</t>
  </si>
  <si>
    <t>Каша пшеничная рассыпчатая</t>
  </si>
  <si>
    <t>291М</t>
  </si>
  <si>
    <t>Плов из филе птицы</t>
  </si>
  <si>
    <t>День/неделя: Четверг-1</t>
  </si>
  <si>
    <t>88М</t>
  </si>
  <si>
    <t>255М</t>
  </si>
  <si>
    <t>Печень по-строгановски</t>
  </si>
  <si>
    <t>309М</t>
  </si>
  <si>
    <t>Макаронные изделия отварные</t>
  </si>
  <si>
    <t>День/неделя: Пятница-1</t>
  </si>
  <si>
    <t>260М</t>
  </si>
  <si>
    <t>Гуляш из свинины</t>
  </si>
  <si>
    <t>102М</t>
  </si>
  <si>
    <t>Суп картофельный с бобовыми (горох)</t>
  </si>
  <si>
    <t>290М</t>
  </si>
  <si>
    <t>Итого за неделю в среднем обед</t>
  </si>
  <si>
    <t>День/неделя: Понедельник-2</t>
  </si>
  <si>
    <t>239М</t>
  </si>
  <si>
    <t>304М</t>
  </si>
  <si>
    <t>Рис отварной</t>
  </si>
  <si>
    <t>День/неделя: Вторник-2</t>
  </si>
  <si>
    <t>98М</t>
  </si>
  <si>
    <t>Суп крестьянский с крупой (пшено)</t>
  </si>
  <si>
    <t>День/неделя: Среда-2</t>
  </si>
  <si>
    <t>234М</t>
  </si>
  <si>
    <t>310М</t>
  </si>
  <si>
    <t>Картофель отварной</t>
  </si>
  <si>
    <t>День/неделя: Четверг-2</t>
  </si>
  <si>
    <t>101М</t>
  </si>
  <si>
    <t>Суп картофельный с крупой (рис)</t>
  </si>
  <si>
    <t>259М</t>
  </si>
  <si>
    <t>Жаркое по-домашнему</t>
  </si>
  <si>
    <t>День/неделя: Пятница-2</t>
  </si>
  <si>
    <t>Пирог чайный</t>
  </si>
  <si>
    <t>0,03-0,015</t>
  </si>
  <si>
    <t>114М</t>
  </si>
  <si>
    <t xml:space="preserve">ВыполнениеСанПиН 2020 </t>
  </si>
  <si>
    <t>Итого за обед</t>
  </si>
  <si>
    <t>Среднее значение за обед</t>
  </si>
  <si>
    <t>Распределение ЭЦ</t>
  </si>
  <si>
    <t>Норма</t>
  </si>
  <si>
    <t>30-35%</t>
  </si>
  <si>
    <t>СОГЛАСОВАНО:</t>
  </si>
  <si>
    <t>УТВЕРЖДАЮ:</t>
  </si>
  <si>
    <t>Начальник МКУ</t>
  </si>
  <si>
    <t>Директор</t>
  </si>
  <si>
    <t>Л.А.Губарева</t>
  </si>
  <si>
    <t>Директор:</t>
  </si>
  <si>
    <t>МУП "Столовая №1 
г. Ростова-на-Дону"</t>
  </si>
  <si>
    <t>"Отдел образования Железнодорожного района г. Ростова-на-Дону"</t>
  </si>
  <si>
    <t>Л.Г.Захарова</t>
  </si>
  <si>
    <t>МБОУ "Школа №64"</t>
  </si>
  <si>
    <t>А.А.Иванова</t>
  </si>
  <si>
    <t>МБОУ "Школа №66"</t>
  </si>
  <si>
    <t>МБОУ "Школа №67"</t>
  </si>
  <si>
    <t>МБОУ "Школа№83"</t>
  </si>
  <si>
    <t>МАОУ "Лицей №1"</t>
  </si>
  <si>
    <t>МАОУ "Школа№77"</t>
  </si>
  <si>
    <t>МАОУ "Лицей №14"</t>
  </si>
  <si>
    <t>МАОУ "ДРГ №62"</t>
  </si>
  <si>
    <t xml:space="preserve">МАОУ "Юридическая </t>
  </si>
  <si>
    <t>гимназия №9"</t>
  </si>
  <si>
    <t xml:space="preserve"> А.А.Шинкаренко</t>
  </si>
  <si>
    <t xml:space="preserve">Н.Е.Сысоева </t>
  </si>
  <si>
    <t xml:space="preserve">Е.В.Пархоменко </t>
  </si>
  <si>
    <t xml:space="preserve">М.Г.Почикаева </t>
  </si>
  <si>
    <t xml:space="preserve">И.В.Паркина </t>
  </si>
  <si>
    <t xml:space="preserve">Г.А.Чернышева </t>
  </si>
  <si>
    <t xml:space="preserve">В.А.Симоненко </t>
  </si>
  <si>
    <t xml:space="preserve">Е.А.Гаджиева </t>
  </si>
  <si>
    <t>Примерное 2-х недельное меню МУП "Столовая №1 г. Ростова-на-Дону" на горячее питание 
для обучащихся из малообеспеченных семей  (5-11 классы), обед 90 руб. 13 коп. 
для муниципальных общеобразовательных школ Железнодорожного района
 2022 год</t>
  </si>
  <si>
    <t xml:space="preserve">Борщ из свежей капусты  с картофелем  </t>
  </si>
  <si>
    <t>Котлеты из говядины с соусом</t>
  </si>
  <si>
    <t>Щи из свежей капусты с картофелем</t>
  </si>
  <si>
    <t>Тефтели рыбные в соусе</t>
  </si>
  <si>
    <t>Суп лапша домашняя</t>
  </si>
  <si>
    <t>Птица (филе) тушеная в соусе</t>
  </si>
  <si>
    <t>Биточки рыбные с соусом</t>
  </si>
  <si>
    <t xml:space="preserve">Потребность в пищевых веществах для обучающихся  11 лет и старше по проекту СанПиН 2020 </t>
  </si>
  <si>
    <t>Минеральные 
вещества (мг)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</si>
</sst>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&quot;М/ссж&quot;"/>
  </numFmts>
  <fonts count="18"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2"/>
    </font>
    <font>
      <sz val="12"/>
      <name val="Arial"/>
      <family val="2"/>
    </font>
    <font>
      <sz val="12"/>
      <name val="Calibri"/>
      <family val="2"/>
      <charset val="204"/>
      <scheme val="minor"/>
    </font>
    <font>
      <b/>
      <i/>
      <sz val="12"/>
      <name val="Times New Roman"/>
      <family val="2"/>
    </font>
    <font>
      <sz val="12"/>
      <name val="Times New Roman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04"/>
    </font>
    <font>
      <b/>
      <sz val="11"/>
      <name val="Times New Roman"/>
      <family val="2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/>
    <xf numFmtId="2" fontId="6" fillId="0" borderId="0" xfId="0" applyNumberFormat="1" applyFont="1" applyFill="1"/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/>
    <xf numFmtId="2" fontId="4" fillId="0" borderId="0" xfId="0" applyNumberFormat="1" applyFont="1" applyAlignment="1">
      <alignment horizontal="left"/>
    </xf>
    <xf numFmtId="0" fontId="4" fillId="0" borderId="1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2" fontId="8" fillId="0" borderId="9" xfId="2" applyNumberFormat="1" applyFont="1" applyBorder="1"/>
    <xf numFmtId="2" fontId="8" fillId="0" borderId="4" xfId="2" applyNumberFormat="1" applyFont="1" applyBorder="1"/>
    <xf numFmtId="0" fontId="9" fillId="0" borderId="0" xfId="0" applyFont="1"/>
    <xf numFmtId="2" fontId="8" fillId="0" borderId="6" xfId="2" applyNumberFormat="1" applyFont="1" applyBorder="1"/>
    <xf numFmtId="2" fontId="8" fillId="0" borderId="10" xfId="2" applyNumberFormat="1" applyFont="1" applyBorder="1"/>
    <xf numFmtId="2" fontId="8" fillId="0" borderId="2" xfId="2" applyNumberFormat="1" applyFont="1" applyBorder="1"/>
    <xf numFmtId="0" fontId="9" fillId="2" borderId="0" xfId="0" applyFont="1" applyFill="1"/>
    <xf numFmtId="2" fontId="8" fillId="0" borderId="0" xfId="2" applyNumberFormat="1" applyFont="1" applyBorder="1"/>
    <xf numFmtId="2" fontId="8" fillId="0" borderId="3" xfId="2" applyNumberFormat="1" applyFont="1" applyBorder="1"/>
    <xf numFmtId="164" fontId="11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 wrapText="1"/>
    </xf>
    <xf numFmtId="1" fontId="11" fillId="2" borderId="1" xfId="2" applyNumberFormat="1" applyFont="1" applyFill="1" applyBorder="1" applyAlignment="1">
      <alignment horizontal="center" vertical="center" wrapText="1"/>
    </xf>
    <xf numFmtId="2" fontId="11" fillId="2" borderId="1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Border="1" applyAlignment="1">
      <alignment horizontal="center" vertical="center" wrapText="1"/>
    </xf>
    <xf numFmtId="164" fontId="11" fillId="2" borderId="1" xfId="4" applyNumberFormat="1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center" wrapText="1"/>
    </xf>
    <xf numFmtId="1" fontId="11" fillId="2" borderId="1" xfId="4" applyNumberFormat="1" applyFont="1" applyFill="1" applyBorder="1" applyAlignment="1">
      <alignment horizontal="center" vertical="center" wrapText="1"/>
    </xf>
    <xf numFmtId="2" fontId="11" fillId="2" borderId="1" xfId="4" applyNumberFormat="1" applyFont="1" applyFill="1" applyBorder="1" applyAlignment="1">
      <alignment horizontal="center" vertical="center" wrapText="1"/>
    </xf>
    <xf numFmtId="2" fontId="11" fillId="0" borderId="1" xfId="4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1" fontId="11" fillId="0" borderId="1" xfId="1" applyNumberFormat="1" applyFont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1" fontId="11" fillId="2" borderId="1" xfId="1" applyNumberFormat="1" applyFont="1" applyFill="1" applyBorder="1" applyAlignment="1">
      <alignment horizontal="center" vertical="center" wrapText="1"/>
    </xf>
    <xf numFmtId="2" fontId="11" fillId="2" borderId="1" xfId="5" applyNumberFormat="1" applyFont="1" applyFill="1" applyBorder="1" applyAlignment="1">
      <alignment horizontal="center" vertical="center" wrapText="1"/>
    </xf>
    <xf numFmtId="2" fontId="11" fillId="0" borderId="1" xfId="5" applyNumberFormat="1" applyFont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1" fontId="2" fillId="2" borderId="5" xfId="2" applyNumberFormat="1" applyFont="1" applyFill="1" applyBorder="1" applyAlignment="1">
      <alignment horizontal="center" vertical="center"/>
    </xf>
    <xf numFmtId="2" fontId="10" fillId="2" borderId="1" xfId="2" applyNumberFormat="1" applyFont="1" applyFill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 wrapText="1"/>
    </xf>
    <xf numFmtId="164" fontId="11" fillId="0" borderId="1" xfId="4" applyNumberFormat="1" applyFont="1" applyBorder="1" applyAlignment="1">
      <alignment horizontal="center" vertical="center" wrapText="1"/>
    </xf>
    <xf numFmtId="0" fontId="11" fillId="0" borderId="1" xfId="4" applyFont="1" applyBorder="1" applyAlignment="1">
      <alignment horizontal="left" vertical="center" wrapText="1"/>
    </xf>
    <xf numFmtId="1" fontId="11" fillId="0" borderId="1" xfId="4" applyNumberFormat="1" applyFont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2" fontId="11" fillId="0" borderId="1" xfId="4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3" fillId="0" borderId="23" xfId="0" applyFont="1" applyBorder="1" applyAlignment="1">
      <alignment horizontal="left" vertical="center"/>
    </xf>
    <xf numFmtId="2" fontId="11" fillId="0" borderId="1" xfId="2" applyNumberFormat="1" applyFont="1" applyBorder="1" applyAlignment="1">
      <alignment horizontal="center" vertical="center"/>
    </xf>
    <xf numFmtId="1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164" fontId="11" fillId="0" borderId="22" xfId="2" applyNumberFormat="1" applyFont="1" applyBorder="1" applyAlignment="1">
      <alignment horizontal="center" vertical="center" wrapText="1"/>
    </xf>
    <xf numFmtId="1" fontId="2" fillId="3" borderId="1" xfId="2" applyNumberFormat="1" applyFont="1" applyFill="1" applyBorder="1" applyAlignment="1">
      <alignment horizontal="center" vertical="center"/>
    </xf>
    <xf numFmtId="2" fontId="2" fillId="3" borderId="1" xfId="2" applyNumberFormat="1" applyFont="1" applyFill="1" applyBorder="1" applyAlignment="1">
      <alignment horizontal="center" vertical="center"/>
    </xf>
    <xf numFmtId="2" fontId="8" fillId="0" borderId="5" xfId="2" applyNumberFormat="1" applyFont="1" applyBorder="1"/>
    <xf numFmtId="2" fontId="8" fillId="0" borderId="8" xfId="2" applyNumberFormat="1" applyFont="1" applyBorder="1"/>
    <xf numFmtId="2" fontId="8" fillId="0" borderId="23" xfId="2" applyNumberFormat="1" applyFont="1" applyBorder="1"/>
    <xf numFmtId="164" fontId="11" fillId="0" borderId="1" xfId="1" applyNumberFormat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 wrapText="1"/>
    </xf>
    <xf numFmtId="0" fontId="11" fillId="2" borderId="23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2" fontId="11" fillId="0" borderId="1" xfId="3" applyNumberFormat="1" applyFont="1" applyBorder="1" applyAlignment="1">
      <alignment horizontal="center" vertical="center" wrapText="1"/>
    </xf>
    <xf numFmtId="2" fontId="11" fillId="0" borderId="1" xfId="5" applyNumberFormat="1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 wrapText="1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/>
    <xf numFmtId="2" fontId="9" fillId="0" borderId="3" xfId="0" applyNumberFormat="1" applyFont="1" applyBorder="1"/>
    <xf numFmtId="0" fontId="12" fillId="6" borderId="19" xfId="0" applyFont="1" applyFill="1" applyBorder="1" applyAlignment="1">
      <alignment horizontal="center" vertical="center"/>
    </xf>
    <xf numFmtId="2" fontId="12" fillId="6" borderId="16" xfId="0" applyNumberFormat="1" applyFont="1" applyFill="1" applyBorder="1" applyAlignment="1">
      <alignment horizontal="center"/>
    </xf>
    <xf numFmtId="2" fontId="12" fillId="4" borderId="16" xfId="0" applyNumberFormat="1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 vertical="center"/>
    </xf>
    <xf numFmtId="2" fontId="12" fillId="6" borderId="2" xfId="0" applyNumberFormat="1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center"/>
    </xf>
    <xf numFmtId="2" fontId="13" fillId="5" borderId="3" xfId="0" applyNumberFormat="1" applyFont="1" applyFill="1" applyBorder="1" applyAlignment="1">
      <alignment horizontal="center" vertical="center"/>
    </xf>
    <xf numFmtId="2" fontId="12" fillId="7" borderId="18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2" fontId="8" fillId="0" borderId="2" xfId="0" applyNumberFormat="1" applyFont="1" applyBorder="1"/>
    <xf numFmtId="2" fontId="14" fillId="0" borderId="2" xfId="0" applyNumberFormat="1" applyFont="1" applyBorder="1"/>
    <xf numFmtId="2" fontId="8" fillId="0" borderId="0" xfId="0" applyNumberFormat="1" applyFont="1" applyBorder="1"/>
    <xf numFmtId="2" fontId="8" fillId="0" borderId="3" xfId="0" applyNumberFormat="1" applyFont="1" applyBorder="1"/>
    <xf numFmtId="2" fontId="13" fillId="0" borderId="2" xfId="0" applyNumberFormat="1" applyFont="1" applyBorder="1"/>
    <xf numFmtId="2" fontId="9" fillId="0" borderId="10" xfId="0" applyNumberFormat="1" applyFont="1" applyBorder="1"/>
    <xf numFmtId="2" fontId="8" fillId="0" borderId="10" xfId="0" applyNumberFormat="1" applyFont="1" applyBorder="1"/>
    <xf numFmtId="1" fontId="9" fillId="0" borderId="0" xfId="0" applyNumberFormat="1" applyFont="1" applyAlignment="1">
      <alignment horizontal="center"/>
    </xf>
    <xf numFmtId="2" fontId="9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Fill="1"/>
    <xf numFmtId="2" fontId="15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2" fillId="6" borderId="5" xfId="0" applyFont="1" applyFill="1" applyBorder="1" applyAlignment="1">
      <alignment horizontal="right" vertical="center" wrapText="1"/>
    </xf>
    <xf numFmtId="0" fontId="12" fillId="6" borderId="12" xfId="0" applyFont="1" applyFill="1" applyBorder="1" applyAlignment="1">
      <alignment horizontal="right" vertical="center" wrapText="1"/>
    </xf>
    <xf numFmtId="0" fontId="12" fillId="5" borderId="7" xfId="0" applyFont="1" applyFill="1" applyBorder="1" applyAlignment="1">
      <alignment horizontal="right" vertical="center" wrapText="1"/>
    </xf>
    <xf numFmtId="0" fontId="12" fillId="5" borderId="9" xfId="0" applyFont="1" applyFill="1" applyBorder="1" applyAlignment="1">
      <alignment horizontal="right" vertical="center" wrapText="1"/>
    </xf>
    <xf numFmtId="0" fontId="12" fillId="5" borderId="13" xfId="0" applyFont="1" applyFill="1" applyBorder="1" applyAlignment="1">
      <alignment horizontal="right" vertical="center" wrapText="1"/>
    </xf>
    <xf numFmtId="0" fontId="12" fillId="7" borderId="25" xfId="0" applyFont="1" applyFill="1" applyBorder="1" applyAlignment="1">
      <alignment horizontal="right" vertical="center" wrapText="1"/>
    </xf>
    <xf numFmtId="0" fontId="12" fillId="7" borderId="20" xfId="0" applyFont="1" applyFill="1" applyBorder="1" applyAlignment="1">
      <alignment horizontal="right" vertical="center" wrapText="1"/>
    </xf>
    <xf numFmtId="0" fontId="12" fillId="7" borderId="17" xfId="0" applyFont="1" applyFill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21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left" vertical="center"/>
    </xf>
    <xf numFmtId="0" fontId="7" fillId="3" borderId="23" xfId="2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right" vertical="center" wrapText="1"/>
    </xf>
    <xf numFmtId="0" fontId="12" fillId="6" borderId="15" xfId="0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10" fillId="2" borderId="11" xfId="2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left" vertical="center" wrapText="1"/>
    </xf>
    <xf numFmtId="0" fontId="7" fillId="0" borderId="23" xfId="2" applyFont="1" applyBorder="1" applyAlignment="1">
      <alignment horizontal="left" vertical="center" wrapText="1"/>
    </xf>
    <xf numFmtId="0" fontId="17" fillId="3" borderId="5" xfId="2" applyFont="1" applyFill="1" applyBorder="1" applyAlignment="1">
      <alignment horizontal="left" vertical="center"/>
    </xf>
    <xf numFmtId="0" fontId="17" fillId="3" borderId="23" xfId="2" applyFont="1" applyFill="1" applyBorder="1" applyAlignment="1">
      <alignment horizontal="left" vertical="center"/>
    </xf>
    <xf numFmtId="2" fontId="15" fillId="0" borderId="1" xfId="2" applyNumberFormat="1" applyFont="1" applyFill="1" applyBorder="1" applyAlignment="1">
      <alignment horizontal="center" vertical="center" wrapText="1"/>
    </xf>
    <xf numFmtId="2" fontId="15" fillId="0" borderId="5" xfId="2" applyNumberFormat="1" applyFont="1" applyFill="1" applyBorder="1" applyAlignment="1">
      <alignment horizontal="center" vertical="center" wrapText="1"/>
    </xf>
    <xf numFmtId="0" fontId="15" fillId="0" borderId="21" xfId="2" applyFont="1" applyFill="1" applyBorder="1" applyAlignment="1">
      <alignment horizontal="center" vertical="center" wrapText="1"/>
    </xf>
    <xf numFmtId="0" fontId="15" fillId="0" borderId="22" xfId="2" applyFont="1" applyFill="1" applyBorder="1" applyAlignment="1">
      <alignment horizontal="center" vertical="center" wrapText="1"/>
    </xf>
    <xf numFmtId="1" fontId="15" fillId="0" borderId="21" xfId="2" applyNumberFormat="1" applyFont="1" applyFill="1" applyBorder="1" applyAlignment="1">
      <alignment horizontal="center" vertical="center" wrapText="1"/>
    </xf>
    <xf numFmtId="1" fontId="15" fillId="0" borderId="22" xfId="2" applyNumberFormat="1" applyFont="1" applyFill="1" applyBorder="1" applyAlignment="1">
      <alignment horizontal="center" vertical="center" wrapText="1"/>
    </xf>
    <xf numFmtId="2" fontId="15" fillId="0" borderId="21" xfId="2" applyNumberFormat="1" applyFont="1" applyFill="1" applyBorder="1" applyAlignment="1">
      <alignment horizontal="center" vertical="center" wrapText="1"/>
    </xf>
    <xf numFmtId="2" fontId="15" fillId="0" borderId="22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_Лист1" xfId="1"/>
    <cellStyle name="Обычный_Лист2" xfId="2"/>
    <cellStyle name="Обычный_Лист3" xfId="3"/>
    <cellStyle name="Обычный_ХЭХ 1С" xfId="4"/>
    <cellStyle name="Обычный_ХЭХ из 1С  (2)" xfId="5"/>
  </cellStyles>
  <dxfs count="9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sqref="A1:XFD25"/>
    </sheetView>
  </sheetViews>
  <sheetFormatPr defaultColWidth="9" defaultRowHeight="18.75"/>
  <cols>
    <col min="1" max="1" width="9.140625" style="18" customWidth="1"/>
    <col min="2" max="2" width="38.42578125" style="17" customWidth="1"/>
    <col min="3" max="3" width="9.85546875" style="19" customWidth="1"/>
    <col min="4" max="4" width="9.85546875" style="20" customWidth="1"/>
    <col min="5" max="5" width="10.28515625" style="20" customWidth="1"/>
    <col min="6" max="6" width="9.85546875" style="20" customWidth="1"/>
    <col min="7" max="7" width="12.7109375" style="20" customWidth="1"/>
    <col min="8" max="8" width="8.5703125" style="21" customWidth="1"/>
    <col min="9" max="9" width="7" style="21" customWidth="1"/>
    <col min="10" max="10" width="8" style="21" customWidth="1"/>
    <col min="11" max="11" width="9.85546875" style="21" customWidth="1"/>
    <col min="12" max="12" width="11" style="21" customWidth="1"/>
    <col min="13" max="16384" width="9" style="17"/>
  </cols>
  <sheetData>
    <row r="1" spans="1:15" s="2" customFormat="1">
      <c r="A1" s="133" t="s">
        <v>82</v>
      </c>
      <c r="B1" s="133"/>
      <c r="D1" s="3"/>
      <c r="E1" s="3"/>
      <c r="J1" s="27"/>
      <c r="K1" s="8" t="s">
        <v>83</v>
      </c>
      <c r="L1" s="27"/>
      <c r="M1" s="24"/>
      <c r="N1" s="24"/>
      <c r="O1" s="24"/>
    </row>
    <row r="2" spans="1:15" s="2" customFormat="1">
      <c r="A2" s="133" t="s">
        <v>84</v>
      </c>
      <c r="B2" s="133"/>
      <c r="D2" s="3"/>
      <c r="E2" s="3"/>
      <c r="J2" s="27"/>
      <c r="K2" s="8" t="s">
        <v>85</v>
      </c>
      <c r="L2" s="27"/>
      <c r="M2" s="24"/>
      <c r="N2" s="24"/>
      <c r="O2" s="24"/>
    </row>
    <row r="3" spans="1:15" s="4" customFormat="1" ht="55.5" customHeight="1">
      <c r="A3" s="129" t="s">
        <v>89</v>
      </c>
      <c r="B3" s="129"/>
      <c r="D3" s="5"/>
      <c r="E3" s="5"/>
      <c r="I3" s="131" t="s">
        <v>88</v>
      </c>
      <c r="J3" s="131"/>
      <c r="K3" s="131"/>
      <c r="L3" s="22"/>
      <c r="M3" s="22"/>
      <c r="N3" s="22"/>
      <c r="O3" s="22"/>
    </row>
    <row r="4" spans="1:15" s="4" customFormat="1">
      <c r="A4" s="132"/>
      <c r="B4" s="132"/>
      <c r="C4" s="132"/>
      <c r="D4" s="132"/>
      <c r="E4" s="5"/>
      <c r="K4" s="5"/>
      <c r="L4" s="5"/>
      <c r="M4" s="5"/>
      <c r="N4" s="5"/>
      <c r="O4" s="5"/>
    </row>
    <row r="5" spans="1:15" s="4" customFormat="1">
      <c r="A5" s="6"/>
      <c r="B5" s="6"/>
      <c r="D5" s="5"/>
      <c r="E5" s="5"/>
      <c r="K5" s="23"/>
      <c r="L5" s="23"/>
      <c r="M5" s="23"/>
      <c r="N5" s="23"/>
      <c r="O5" s="23"/>
    </row>
    <row r="6" spans="1:15" s="2" customFormat="1">
      <c r="A6" s="29"/>
      <c r="B6" s="26"/>
      <c r="C6" s="7" t="s">
        <v>90</v>
      </c>
      <c r="D6" s="3"/>
      <c r="E6" s="3"/>
      <c r="G6" s="26"/>
      <c r="H6" s="26"/>
      <c r="I6" s="26"/>
      <c r="J6" s="28"/>
      <c r="K6" s="28" t="s">
        <v>86</v>
      </c>
      <c r="L6" s="25"/>
    </row>
    <row r="7" spans="1:15" s="2" customFormat="1">
      <c r="A7" s="29"/>
      <c r="B7" s="9"/>
      <c r="D7" s="3"/>
      <c r="E7" s="3"/>
      <c r="K7" s="3"/>
      <c r="L7" s="10"/>
      <c r="M7" s="10"/>
      <c r="N7" s="10"/>
      <c r="O7" s="10"/>
    </row>
    <row r="8" spans="1:15" s="2" customFormat="1">
      <c r="A8" s="7" t="s">
        <v>87</v>
      </c>
      <c r="B8" s="9"/>
      <c r="D8" s="3"/>
      <c r="E8" s="3"/>
      <c r="K8" s="3"/>
      <c r="L8" s="10"/>
      <c r="M8" s="10"/>
      <c r="N8" s="10"/>
      <c r="O8" s="10"/>
    </row>
    <row r="9" spans="1:15" s="2" customFormat="1">
      <c r="A9" s="33"/>
      <c r="D9" s="3"/>
      <c r="E9" s="3"/>
    </row>
    <row r="10" spans="1:15" s="11" customFormat="1" ht="21" customHeight="1">
      <c r="A10" s="30" t="s">
        <v>91</v>
      </c>
      <c r="B10" s="30"/>
      <c r="C10" s="11" t="s">
        <v>92</v>
      </c>
      <c r="D10" s="12"/>
      <c r="E10" s="12"/>
      <c r="F10" s="130" t="s">
        <v>110</v>
      </c>
      <c r="G10" s="130"/>
      <c r="H10" s="130"/>
      <c r="I10" s="130"/>
      <c r="J10" s="130"/>
      <c r="K10" s="130"/>
      <c r="L10" s="22"/>
      <c r="M10" s="22"/>
      <c r="N10" s="22"/>
      <c r="O10" s="22"/>
    </row>
    <row r="11" spans="1:15" s="11" customFormat="1" ht="15.75" customHeight="1">
      <c r="A11" s="30" t="s">
        <v>93</v>
      </c>
      <c r="B11" s="13"/>
      <c r="C11" s="11" t="s">
        <v>102</v>
      </c>
      <c r="D11" s="12"/>
      <c r="E11" s="12"/>
      <c r="F11" s="130"/>
      <c r="G11" s="130"/>
      <c r="H11" s="130"/>
      <c r="I11" s="130"/>
      <c r="J11" s="130"/>
      <c r="K11" s="130"/>
      <c r="L11" s="22"/>
      <c r="M11" s="22"/>
      <c r="N11" s="22"/>
      <c r="O11" s="22"/>
    </row>
    <row r="12" spans="1:15" s="11" customFormat="1" ht="15.75" customHeight="1">
      <c r="A12" s="13" t="s">
        <v>94</v>
      </c>
      <c r="B12" s="13"/>
      <c r="C12" s="11" t="s">
        <v>103</v>
      </c>
      <c r="D12" s="12"/>
      <c r="E12" s="12"/>
      <c r="F12" s="130"/>
      <c r="G12" s="130"/>
      <c r="H12" s="130"/>
      <c r="I12" s="130"/>
      <c r="J12" s="130"/>
      <c r="K12" s="130"/>
      <c r="L12" s="22"/>
      <c r="M12" s="22"/>
      <c r="N12" s="22"/>
      <c r="O12" s="22"/>
    </row>
    <row r="13" spans="1:15" s="11" customFormat="1" ht="15.75" customHeight="1">
      <c r="A13" s="13" t="s">
        <v>95</v>
      </c>
      <c r="B13" s="13"/>
      <c r="C13" s="11" t="s">
        <v>104</v>
      </c>
      <c r="D13" s="12"/>
      <c r="E13" s="12"/>
      <c r="F13" s="130"/>
      <c r="G13" s="130"/>
      <c r="H13" s="130"/>
      <c r="I13" s="130"/>
      <c r="J13" s="130"/>
      <c r="K13" s="130"/>
      <c r="L13" s="22"/>
      <c r="M13" s="22"/>
      <c r="N13" s="22"/>
      <c r="O13" s="22"/>
    </row>
    <row r="14" spans="1:15" s="11" customFormat="1" ht="15.75" customHeight="1">
      <c r="A14" s="13" t="s">
        <v>96</v>
      </c>
      <c r="B14" s="13"/>
      <c r="C14" s="11" t="s">
        <v>105</v>
      </c>
      <c r="D14" s="12"/>
      <c r="E14" s="12"/>
      <c r="F14" s="130"/>
      <c r="G14" s="130"/>
      <c r="H14" s="130"/>
      <c r="I14" s="130"/>
      <c r="J14" s="130"/>
      <c r="K14" s="130"/>
      <c r="L14" s="22"/>
      <c r="M14" s="22"/>
      <c r="N14" s="22"/>
      <c r="O14" s="22"/>
    </row>
    <row r="15" spans="1:15" s="11" customFormat="1" ht="15.75" customHeight="1">
      <c r="A15" s="13" t="s">
        <v>97</v>
      </c>
      <c r="B15" s="13"/>
      <c r="C15" s="11" t="s">
        <v>106</v>
      </c>
      <c r="D15" s="1"/>
      <c r="E15" s="1"/>
      <c r="F15" s="130"/>
      <c r="G15" s="130"/>
      <c r="H15" s="130"/>
      <c r="I15" s="130"/>
      <c r="J15" s="130"/>
      <c r="K15" s="130"/>
      <c r="L15" s="22"/>
      <c r="M15" s="22"/>
      <c r="N15" s="22"/>
      <c r="O15" s="22"/>
    </row>
    <row r="16" spans="1:15" s="11" customFormat="1" ht="15.75" customHeight="1">
      <c r="A16" s="13" t="s">
        <v>98</v>
      </c>
      <c r="B16" s="13"/>
      <c r="C16" s="11" t="s">
        <v>107</v>
      </c>
      <c r="D16" s="12"/>
      <c r="E16" s="1"/>
      <c r="F16" s="130"/>
      <c r="G16" s="130"/>
      <c r="H16" s="130"/>
      <c r="I16" s="130"/>
      <c r="J16" s="130"/>
      <c r="K16" s="130"/>
      <c r="L16" s="22"/>
      <c r="M16" s="22"/>
      <c r="N16" s="22"/>
      <c r="O16" s="22"/>
    </row>
    <row r="17" spans="1:15" s="11" customFormat="1" ht="15.75" customHeight="1">
      <c r="A17" s="13" t="s">
        <v>99</v>
      </c>
      <c r="B17" s="13"/>
      <c r="C17" s="11" t="s">
        <v>108</v>
      </c>
      <c r="D17" s="12"/>
      <c r="E17" s="12"/>
      <c r="F17" s="130"/>
      <c r="G17" s="130"/>
      <c r="H17" s="130"/>
      <c r="I17" s="130"/>
      <c r="J17" s="130"/>
      <c r="K17" s="130"/>
      <c r="L17" s="22"/>
      <c r="M17" s="22"/>
      <c r="N17" s="22"/>
      <c r="O17" s="22"/>
    </row>
    <row r="18" spans="1:15" s="11" customFormat="1" ht="15.75" customHeight="1">
      <c r="A18" s="34" t="s">
        <v>100</v>
      </c>
      <c r="B18" s="34"/>
      <c r="D18" s="12"/>
      <c r="E18" s="12"/>
      <c r="F18" s="130"/>
      <c r="G18" s="130"/>
      <c r="H18" s="130"/>
      <c r="I18" s="130"/>
      <c r="J18" s="130"/>
      <c r="K18" s="130"/>
      <c r="L18" s="22"/>
      <c r="M18" s="22"/>
      <c r="N18" s="22"/>
      <c r="O18" s="22"/>
    </row>
    <row r="19" spans="1:15" s="11" customFormat="1" ht="15.75" customHeight="1">
      <c r="A19" s="30" t="s">
        <v>101</v>
      </c>
      <c r="B19" s="30"/>
      <c r="C19" s="11" t="s">
        <v>109</v>
      </c>
      <c r="D19" s="14"/>
      <c r="E19" s="14"/>
      <c r="F19" s="130"/>
      <c r="G19" s="130"/>
      <c r="H19" s="130"/>
      <c r="I19" s="130"/>
      <c r="J19" s="130"/>
      <c r="K19" s="130"/>
      <c r="L19" s="22"/>
      <c r="M19" s="22"/>
      <c r="N19" s="22"/>
      <c r="O19" s="22"/>
    </row>
    <row r="20" spans="1:15" s="11" customFormat="1" ht="15.75" customHeight="1">
      <c r="A20" s="35"/>
      <c r="B20" s="32"/>
      <c r="C20" s="31"/>
      <c r="D20" s="32"/>
      <c r="E20" s="32"/>
      <c r="F20" s="130"/>
      <c r="G20" s="130"/>
      <c r="H20" s="130"/>
      <c r="I20" s="130"/>
      <c r="J20" s="130"/>
      <c r="K20" s="130"/>
      <c r="L20" s="22"/>
      <c r="M20" s="22"/>
      <c r="N20" s="22"/>
      <c r="O20" s="22"/>
    </row>
    <row r="21" spans="1:15" s="11" customFormat="1" ht="15.75" customHeight="1">
      <c r="A21" s="35"/>
      <c r="B21" s="32"/>
      <c r="C21" s="31"/>
      <c r="D21" s="32"/>
      <c r="E21" s="32"/>
      <c r="F21" s="130"/>
      <c r="G21" s="130"/>
      <c r="H21" s="130"/>
      <c r="I21" s="130"/>
      <c r="J21" s="130"/>
      <c r="K21" s="130"/>
      <c r="L21" s="22"/>
      <c r="M21" s="22"/>
      <c r="N21" s="22"/>
      <c r="O21" s="22"/>
    </row>
    <row r="22" spans="1:15" s="11" customFormat="1" ht="15.75" customHeight="1">
      <c r="A22" s="35"/>
      <c r="B22" s="32"/>
      <c r="C22" s="31"/>
      <c r="D22" s="32"/>
      <c r="E22" s="32"/>
      <c r="F22" s="130"/>
      <c r="G22" s="130"/>
      <c r="H22" s="130"/>
      <c r="I22" s="130"/>
      <c r="J22" s="130"/>
      <c r="K22" s="130"/>
      <c r="L22" s="22"/>
      <c r="M22" s="22"/>
      <c r="N22" s="22"/>
      <c r="O22" s="22"/>
    </row>
    <row r="23" spans="1:15" s="11" customFormat="1" ht="15.75" customHeight="1">
      <c r="A23" s="35"/>
      <c r="B23" s="32"/>
      <c r="C23" s="31"/>
      <c r="D23" s="32"/>
      <c r="E23" s="32"/>
      <c r="F23" s="130"/>
      <c r="G23" s="130"/>
      <c r="H23" s="130"/>
      <c r="I23" s="130"/>
      <c r="J23" s="130"/>
      <c r="K23" s="130"/>
      <c r="L23" s="22"/>
      <c r="M23" s="22"/>
      <c r="N23" s="22"/>
      <c r="O23" s="22"/>
    </row>
    <row r="24" spans="1:15" s="15" customFormat="1">
      <c r="B24" s="9"/>
      <c r="C24" s="16"/>
      <c r="D24" s="9"/>
      <c r="E24" s="9"/>
      <c r="F24" s="9"/>
      <c r="G24" s="9"/>
      <c r="H24" s="9"/>
      <c r="I24" s="9"/>
      <c r="J24" s="9"/>
    </row>
    <row r="25" spans="1:15" s="15" customFormat="1">
      <c r="B25" s="9"/>
      <c r="C25" s="16"/>
      <c r="D25" s="9"/>
      <c r="E25" s="9"/>
      <c r="F25" s="9"/>
      <c r="G25" s="9"/>
      <c r="H25" s="9"/>
      <c r="I25" s="9"/>
      <c r="J25" s="9"/>
    </row>
  </sheetData>
  <mergeCells count="6">
    <mergeCell ref="A3:B3"/>
    <mergeCell ref="F10:K23"/>
    <mergeCell ref="I3:K3"/>
    <mergeCell ref="A4:D4"/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tabSelected="1" workbookViewId="0">
      <selection activeCell="O71" sqref="O71"/>
    </sheetView>
  </sheetViews>
  <sheetFormatPr defaultColWidth="9" defaultRowHeight="15.75"/>
  <cols>
    <col min="1" max="1" width="9.85546875" style="126" customWidth="1"/>
    <col min="2" max="2" width="35.7109375" style="39" customWidth="1"/>
    <col min="3" max="3" width="10.42578125" style="119" customWidth="1"/>
    <col min="4" max="4" width="9.85546875" style="120" customWidth="1"/>
    <col min="5" max="5" width="9.5703125" style="120" customWidth="1"/>
    <col min="6" max="6" width="10.7109375" style="120" customWidth="1"/>
    <col min="7" max="7" width="10.85546875" style="120" customWidth="1"/>
    <col min="8" max="8" width="6.5703125" style="120" bestFit="1" customWidth="1"/>
    <col min="9" max="9" width="8.85546875" style="120" customWidth="1"/>
    <col min="10" max="10" width="10.140625" style="120" customWidth="1"/>
    <col min="11" max="11" width="11.5703125" style="120" customWidth="1"/>
    <col min="12" max="12" width="12.140625" style="120" customWidth="1"/>
    <col min="13" max="16384" width="9" style="39"/>
  </cols>
  <sheetData>
    <row r="1" spans="1:15" s="2" customFormat="1" ht="18.75">
      <c r="A1" s="133" t="s">
        <v>82</v>
      </c>
      <c r="B1" s="133"/>
      <c r="D1" s="3"/>
      <c r="E1" s="3"/>
      <c r="J1" s="27"/>
      <c r="K1" s="8" t="s">
        <v>83</v>
      </c>
      <c r="L1" s="27"/>
      <c r="M1" s="24"/>
      <c r="N1" s="24"/>
      <c r="O1" s="24"/>
    </row>
    <row r="2" spans="1:15" s="2" customFormat="1" ht="18.75">
      <c r="A2" s="133" t="s">
        <v>84</v>
      </c>
      <c r="B2" s="133"/>
      <c r="D2" s="3"/>
      <c r="E2" s="3"/>
      <c r="J2" s="27"/>
      <c r="K2" s="8" t="s">
        <v>85</v>
      </c>
      <c r="L2" s="27"/>
      <c r="M2" s="24"/>
      <c r="N2" s="24"/>
      <c r="O2" s="24"/>
    </row>
    <row r="3" spans="1:15" s="4" customFormat="1" ht="55.5" customHeight="1">
      <c r="A3" s="129" t="s">
        <v>89</v>
      </c>
      <c r="B3" s="129"/>
      <c r="D3" s="5"/>
      <c r="E3" s="5"/>
      <c r="I3" s="131" t="s">
        <v>88</v>
      </c>
      <c r="J3" s="131"/>
      <c r="K3" s="131"/>
      <c r="L3" s="22"/>
      <c r="M3" s="22"/>
      <c r="N3" s="22"/>
      <c r="O3" s="22"/>
    </row>
    <row r="4" spans="1:15" s="4" customFormat="1" ht="18.75">
      <c r="A4" s="132"/>
      <c r="B4" s="132"/>
      <c r="C4" s="132"/>
      <c r="D4" s="132"/>
      <c r="E4" s="5"/>
      <c r="K4" s="5"/>
      <c r="L4" s="5"/>
      <c r="M4" s="5"/>
      <c r="N4" s="5"/>
      <c r="O4" s="5"/>
    </row>
    <row r="5" spans="1:15" s="4" customFormat="1" ht="18.75">
      <c r="A5" s="6"/>
      <c r="B5" s="6"/>
      <c r="D5" s="5"/>
      <c r="E5" s="5"/>
      <c r="K5" s="23"/>
      <c r="L5" s="23"/>
      <c r="M5" s="23"/>
      <c r="N5" s="23"/>
      <c r="O5" s="23"/>
    </row>
    <row r="6" spans="1:15" s="2" customFormat="1" ht="18.75">
      <c r="A6" s="29"/>
      <c r="B6" s="26"/>
      <c r="C6" s="36" t="s">
        <v>90</v>
      </c>
      <c r="D6" s="3"/>
      <c r="E6" s="3"/>
      <c r="G6" s="26"/>
      <c r="H6" s="26"/>
      <c r="I6" s="26"/>
      <c r="J6" s="28"/>
      <c r="K6" s="28" t="s">
        <v>86</v>
      </c>
      <c r="L6" s="25"/>
    </row>
    <row r="7" spans="1:15" s="2" customFormat="1" ht="18.75">
      <c r="A7" s="29"/>
      <c r="B7" s="9"/>
      <c r="D7" s="3"/>
      <c r="E7" s="3"/>
      <c r="K7" s="3"/>
      <c r="L7" s="10"/>
      <c r="M7" s="10"/>
      <c r="N7" s="10"/>
      <c r="O7" s="10"/>
    </row>
    <row r="8" spans="1:15" s="2" customFormat="1" ht="18.75">
      <c r="A8" s="36" t="s">
        <v>87</v>
      </c>
      <c r="B8" s="9"/>
      <c r="D8" s="3"/>
      <c r="E8" s="3"/>
      <c r="K8" s="3"/>
      <c r="L8" s="10"/>
      <c r="M8" s="10"/>
      <c r="N8" s="10"/>
      <c r="O8" s="10"/>
    </row>
    <row r="9" spans="1:15" s="2" customFormat="1" ht="18.75">
      <c r="A9" s="33"/>
      <c r="D9" s="3"/>
      <c r="E9" s="3"/>
    </row>
    <row r="10" spans="1:15" s="11" customFormat="1" ht="21" customHeight="1">
      <c r="A10" s="30" t="s">
        <v>91</v>
      </c>
      <c r="B10" s="30"/>
      <c r="C10" s="11" t="s">
        <v>92</v>
      </c>
      <c r="D10" s="12"/>
      <c r="E10" s="12"/>
      <c r="F10" s="130" t="s">
        <v>110</v>
      </c>
      <c r="G10" s="130"/>
      <c r="H10" s="130"/>
      <c r="I10" s="130"/>
      <c r="J10" s="130"/>
      <c r="K10" s="130"/>
      <c r="L10" s="22"/>
      <c r="M10" s="22"/>
      <c r="N10" s="22"/>
      <c r="O10" s="22"/>
    </row>
    <row r="11" spans="1:15" s="11" customFormat="1" ht="15.75" customHeight="1">
      <c r="A11" s="30" t="s">
        <v>93</v>
      </c>
      <c r="B11" s="13"/>
      <c r="C11" s="11" t="s">
        <v>102</v>
      </c>
      <c r="D11" s="12"/>
      <c r="E11" s="12"/>
      <c r="F11" s="130"/>
      <c r="G11" s="130"/>
      <c r="H11" s="130"/>
      <c r="I11" s="130"/>
      <c r="J11" s="130"/>
      <c r="K11" s="130"/>
      <c r="L11" s="22"/>
      <c r="M11" s="22"/>
      <c r="N11" s="22"/>
      <c r="O11" s="22"/>
    </row>
    <row r="12" spans="1:15" s="11" customFormat="1" ht="15.75" customHeight="1">
      <c r="A12" s="13" t="s">
        <v>94</v>
      </c>
      <c r="B12" s="13"/>
      <c r="C12" s="11" t="s">
        <v>103</v>
      </c>
      <c r="D12" s="12"/>
      <c r="E12" s="12"/>
      <c r="F12" s="130"/>
      <c r="G12" s="130"/>
      <c r="H12" s="130"/>
      <c r="I12" s="130"/>
      <c r="J12" s="130"/>
      <c r="K12" s="130"/>
      <c r="L12" s="22"/>
      <c r="M12" s="22"/>
      <c r="N12" s="22"/>
      <c r="O12" s="22"/>
    </row>
    <row r="13" spans="1:15" s="11" customFormat="1" ht="15.75" customHeight="1">
      <c r="A13" s="13" t="s">
        <v>95</v>
      </c>
      <c r="B13" s="13"/>
      <c r="C13" s="11" t="s">
        <v>104</v>
      </c>
      <c r="D13" s="12"/>
      <c r="E13" s="12"/>
      <c r="F13" s="130"/>
      <c r="G13" s="130"/>
      <c r="H13" s="130"/>
      <c r="I13" s="130"/>
      <c r="J13" s="130"/>
      <c r="K13" s="130"/>
      <c r="L13" s="22"/>
      <c r="M13" s="22"/>
      <c r="N13" s="22"/>
      <c r="O13" s="22"/>
    </row>
    <row r="14" spans="1:15" s="11" customFormat="1" ht="15.75" customHeight="1">
      <c r="A14" s="13" t="s">
        <v>96</v>
      </c>
      <c r="B14" s="13"/>
      <c r="C14" s="11" t="s">
        <v>105</v>
      </c>
      <c r="D14" s="12"/>
      <c r="E14" s="12"/>
      <c r="F14" s="130"/>
      <c r="G14" s="130"/>
      <c r="H14" s="130"/>
      <c r="I14" s="130"/>
      <c r="J14" s="130"/>
      <c r="K14" s="130"/>
      <c r="L14" s="22"/>
      <c r="M14" s="22"/>
      <c r="N14" s="22"/>
      <c r="O14" s="22"/>
    </row>
    <row r="15" spans="1:15" s="11" customFormat="1" ht="15.75" customHeight="1">
      <c r="A15" s="13" t="s">
        <v>97</v>
      </c>
      <c r="B15" s="13"/>
      <c r="C15" s="11" t="s">
        <v>106</v>
      </c>
      <c r="D15" s="1"/>
      <c r="E15" s="1"/>
      <c r="F15" s="130"/>
      <c r="G15" s="130"/>
      <c r="H15" s="130"/>
      <c r="I15" s="130"/>
      <c r="J15" s="130"/>
      <c r="K15" s="130"/>
      <c r="L15" s="22"/>
      <c r="M15" s="22"/>
      <c r="N15" s="22"/>
      <c r="O15" s="22"/>
    </row>
    <row r="16" spans="1:15" s="11" customFormat="1" ht="15.75" customHeight="1">
      <c r="A16" s="13" t="s">
        <v>98</v>
      </c>
      <c r="B16" s="13"/>
      <c r="C16" s="11" t="s">
        <v>107</v>
      </c>
      <c r="D16" s="12"/>
      <c r="E16" s="1"/>
      <c r="F16" s="130"/>
      <c r="G16" s="130"/>
      <c r="H16" s="130"/>
      <c r="I16" s="130"/>
      <c r="J16" s="130"/>
      <c r="K16" s="130"/>
      <c r="L16" s="22"/>
      <c r="M16" s="22"/>
      <c r="N16" s="22"/>
      <c r="O16" s="22"/>
    </row>
    <row r="17" spans="1:15" s="11" customFormat="1" ht="15.75" customHeight="1">
      <c r="A17" s="13" t="s">
        <v>99</v>
      </c>
      <c r="B17" s="13"/>
      <c r="C17" s="11" t="s">
        <v>108</v>
      </c>
      <c r="D17" s="12"/>
      <c r="E17" s="12"/>
      <c r="F17" s="130"/>
      <c r="G17" s="130"/>
      <c r="H17" s="130"/>
      <c r="I17" s="130"/>
      <c r="J17" s="130"/>
      <c r="K17" s="130"/>
      <c r="L17" s="22"/>
      <c r="M17" s="22"/>
      <c r="N17" s="22"/>
      <c r="O17" s="22"/>
    </row>
    <row r="18" spans="1:15" s="11" customFormat="1" ht="15.75" customHeight="1">
      <c r="A18" s="34" t="s">
        <v>100</v>
      </c>
      <c r="B18" s="34"/>
      <c r="D18" s="12"/>
      <c r="E18" s="12"/>
      <c r="F18" s="130"/>
      <c r="G18" s="130"/>
      <c r="H18" s="130"/>
      <c r="I18" s="130"/>
      <c r="J18" s="130"/>
      <c r="K18" s="130"/>
      <c r="L18" s="22"/>
      <c r="M18" s="22"/>
      <c r="N18" s="22"/>
      <c r="O18" s="22"/>
    </row>
    <row r="19" spans="1:15" s="11" customFormat="1" ht="15.75" customHeight="1">
      <c r="A19" s="30" t="s">
        <v>101</v>
      </c>
      <c r="B19" s="30"/>
      <c r="C19" s="11" t="s">
        <v>109</v>
      </c>
      <c r="D19" s="14"/>
      <c r="E19" s="14"/>
      <c r="F19" s="130"/>
      <c r="G19" s="130"/>
      <c r="H19" s="130"/>
      <c r="I19" s="130"/>
      <c r="J19" s="130"/>
      <c r="K19" s="130"/>
      <c r="L19" s="22"/>
      <c r="M19" s="22"/>
      <c r="N19" s="22"/>
      <c r="O19" s="22"/>
    </row>
    <row r="20" spans="1:15" s="11" customFormat="1" ht="15.75" customHeight="1">
      <c r="A20" s="35"/>
      <c r="B20" s="32"/>
      <c r="C20" s="31"/>
      <c r="D20" s="32"/>
      <c r="E20" s="32"/>
      <c r="F20" s="130"/>
      <c r="G20" s="130"/>
      <c r="H20" s="130"/>
      <c r="I20" s="130"/>
      <c r="J20" s="130"/>
      <c r="K20" s="130"/>
      <c r="L20" s="22"/>
      <c r="M20" s="22"/>
      <c r="N20" s="22"/>
      <c r="O20" s="22"/>
    </row>
    <row r="21" spans="1:15" s="11" customFormat="1" ht="15.75" customHeight="1">
      <c r="A21" s="35"/>
      <c r="B21" s="32"/>
      <c r="C21" s="31"/>
      <c r="D21" s="32"/>
      <c r="E21" s="32"/>
      <c r="F21" s="130"/>
      <c r="G21" s="130"/>
      <c r="H21" s="130"/>
      <c r="I21" s="130"/>
      <c r="J21" s="130"/>
      <c r="K21" s="130"/>
      <c r="L21" s="22"/>
      <c r="M21" s="22"/>
      <c r="N21" s="22"/>
      <c r="O21" s="22"/>
    </row>
    <row r="22" spans="1:15" s="11" customFormat="1" ht="15.75" customHeight="1">
      <c r="A22" s="35"/>
      <c r="B22" s="32"/>
      <c r="C22" s="31"/>
      <c r="D22" s="32"/>
      <c r="E22" s="32"/>
      <c r="F22" s="130"/>
      <c r="G22" s="130"/>
      <c r="H22" s="130"/>
      <c r="I22" s="130"/>
      <c r="J22" s="130"/>
      <c r="K22" s="130"/>
      <c r="L22" s="22"/>
      <c r="M22" s="22"/>
      <c r="N22" s="22"/>
      <c r="O22" s="22"/>
    </row>
    <row r="23" spans="1:15" s="11" customFormat="1" ht="15.75" customHeight="1">
      <c r="A23" s="35"/>
      <c r="B23" s="32"/>
      <c r="C23" s="31"/>
      <c r="D23" s="32"/>
      <c r="E23" s="32"/>
      <c r="F23" s="130"/>
      <c r="G23" s="130"/>
      <c r="H23" s="130"/>
      <c r="I23" s="130"/>
      <c r="J23" s="130"/>
      <c r="K23" s="130"/>
      <c r="L23" s="22"/>
      <c r="M23" s="22"/>
      <c r="N23" s="22"/>
      <c r="O23" s="22"/>
    </row>
    <row r="24" spans="1:15" s="15" customFormat="1" ht="18.75">
      <c r="B24" s="9"/>
      <c r="C24" s="16"/>
      <c r="D24" s="9"/>
      <c r="E24" s="9"/>
      <c r="F24" s="9"/>
      <c r="G24" s="9"/>
      <c r="H24" s="9"/>
      <c r="I24" s="9"/>
      <c r="J24" s="9"/>
    </row>
    <row r="25" spans="1:15" s="15" customFormat="1" ht="18.75">
      <c r="B25" s="9"/>
      <c r="C25" s="16"/>
      <c r="D25" s="9"/>
      <c r="E25" s="9"/>
      <c r="F25" s="9"/>
      <c r="G25" s="9"/>
      <c r="H25" s="9"/>
      <c r="I25" s="9"/>
      <c r="J25" s="9"/>
    </row>
    <row r="26" spans="1:15">
      <c r="A26" s="148" t="s">
        <v>0</v>
      </c>
      <c r="B26" s="148"/>
      <c r="C26" s="148"/>
      <c r="D26" s="148"/>
      <c r="E26" s="148"/>
      <c r="F26" s="148"/>
      <c r="G26" s="148"/>
      <c r="H26" s="37"/>
      <c r="I26" s="37"/>
      <c r="J26" s="37"/>
      <c r="K26" s="37"/>
      <c r="L26" s="38"/>
    </row>
    <row r="27" spans="1:15" s="127" customFormat="1" ht="33" customHeight="1">
      <c r="A27" s="167" t="s">
        <v>1</v>
      </c>
      <c r="B27" s="167" t="s">
        <v>2</v>
      </c>
      <c r="C27" s="169" t="s">
        <v>3</v>
      </c>
      <c r="D27" s="165" t="s">
        <v>4</v>
      </c>
      <c r="E27" s="165"/>
      <c r="F27" s="165"/>
      <c r="G27" s="171" t="s">
        <v>5</v>
      </c>
      <c r="H27" s="165" t="s">
        <v>6</v>
      </c>
      <c r="I27" s="165"/>
      <c r="J27" s="165"/>
      <c r="K27" s="166" t="s">
        <v>119</v>
      </c>
      <c r="L27" s="165"/>
    </row>
    <row r="28" spans="1:15" s="127" customFormat="1" ht="33" customHeight="1">
      <c r="A28" s="168"/>
      <c r="B28" s="168"/>
      <c r="C28" s="170"/>
      <c r="D28" s="128" t="s">
        <v>7</v>
      </c>
      <c r="E28" s="128" t="s">
        <v>8</v>
      </c>
      <c r="F28" s="128" t="s">
        <v>9</v>
      </c>
      <c r="G28" s="172"/>
      <c r="H28" s="128" t="s">
        <v>10</v>
      </c>
      <c r="I28" s="128" t="s">
        <v>11</v>
      </c>
      <c r="J28" s="128" t="s">
        <v>12</v>
      </c>
      <c r="K28" s="128" t="s">
        <v>13</v>
      </c>
      <c r="L28" s="128" t="s">
        <v>14</v>
      </c>
    </row>
    <row r="29" spans="1:15" s="43" customFormat="1">
      <c r="A29" s="151" t="s">
        <v>21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2"/>
    </row>
    <row r="30" spans="1:15" s="43" customFormat="1">
      <c r="A30" s="46"/>
      <c r="B30" s="47" t="s">
        <v>22</v>
      </c>
      <c r="C30" s="48">
        <v>100</v>
      </c>
      <c r="D30" s="49">
        <f>0.66*100/60</f>
        <v>1.1000000000000001</v>
      </c>
      <c r="E30" s="49">
        <f>0.12*100/60</f>
        <v>0.2</v>
      </c>
      <c r="F30" s="49">
        <f>2.28*100/60</f>
        <v>3.7999999999999994</v>
      </c>
      <c r="G30" s="49">
        <f>14.4*100/60</f>
        <v>24</v>
      </c>
      <c r="H30" s="50">
        <f>0.036*100/60</f>
        <v>5.9999999999999991E-2</v>
      </c>
      <c r="I30" s="50">
        <f>0.1*100/60</f>
        <v>0.16666666666666666</v>
      </c>
      <c r="J30" s="50">
        <f>11*100/60-4</f>
        <v>14.333333333333332</v>
      </c>
      <c r="K30" s="50">
        <f>12.2*100/60</f>
        <v>20.333333333333332</v>
      </c>
      <c r="L30" s="50">
        <f>15.6*90/60</f>
        <v>23.4</v>
      </c>
    </row>
    <row r="31" spans="1:15" s="43" customFormat="1" ht="31.5">
      <c r="A31" s="51">
        <v>82</v>
      </c>
      <c r="B31" s="52" t="s">
        <v>111</v>
      </c>
      <c r="C31" s="53">
        <v>250</v>
      </c>
      <c r="D31" s="54">
        <f>7.21*0.25+2</f>
        <v>3.8025000000000002</v>
      </c>
      <c r="E31" s="54">
        <f>19.68*0.25+5</f>
        <v>9.92</v>
      </c>
      <c r="F31" s="54">
        <f>47.73*0.25</f>
        <v>11.932499999999999</v>
      </c>
      <c r="G31" s="54">
        <f>415*0.25+50</f>
        <v>153.75</v>
      </c>
      <c r="H31" s="55">
        <f>0.2*0.25</f>
        <v>0.05</v>
      </c>
      <c r="I31" s="55">
        <f>0.19*0.45</f>
        <v>8.5500000000000007E-2</v>
      </c>
      <c r="J31" s="55">
        <f>42.7*0.25-2</f>
        <v>8.6750000000000007</v>
      </c>
      <c r="K31" s="55">
        <f>51*2.5</f>
        <v>127.5</v>
      </c>
      <c r="L31" s="55">
        <f>1359.5*0.15-10</f>
        <v>193.92499999999998</v>
      </c>
    </row>
    <row r="32" spans="1:15" s="43" customFormat="1">
      <c r="A32" s="46" t="s">
        <v>23</v>
      </c>
      <c r="B32" s="47" t="s">
        <v>24</v>
      </c>
      <c r="C32" s="48">
        <v>100</v>
      </c>
      <c r="D32" s="54">
        <f>8.27/80*100+2</f>
        <v>12.337499999999999</v>
      </c>
      <c r="E32" s="54">
        <f>10.02/80*100</f>
        <v>12.525</v>
      </c>
      <c r="F32" s="54">
        <f>8.79/80*100</f>
        <v>10.987499999999999</v>
      </c>
      <c r="G32" s="54">
        <f>131/80*110</f>
        <v>180.125</v>
      </c>
      <c r="H32" s="55">
        <f>0.04/80*100</f>
        <v>0.05</v>
      </c>
      <c r="I32" s="55">
        <f>0.09/80*100</f>
        <v>0.11249999999999999</v>
      </c>
      <c r="J32" s="55">
        <f>0.18/80*90.5</f>
        <v>0.20362499999999997</v>
      </c>
      <c r="K32" s="55">
        <f>38.56*100/90</f>
        <v>42.844444444444441</v>
      </c>
      <c r="L32" s="55">
        <f>99.71/80*90</f>
        <v>112.17375</v>
      </c>
    </row>
    <row r="33" spans="1:12" s="43" customFormat="1">
      <c r="A33" s="46" t="s">
        <v>25</v>
      </c>
      <c r="B33" s="47" t="s">
        <v>26</v>
      </c>
      <c r="C33" s="48">
        <v>180</v>
      </c>
      <c r="D33" s="49">
        <f>52.73*0.18</f>
        <v>9.4913999999999987</v>
      </c>
      <c r="E33" s="49">
        <f>40.62*0.18</f>
        <v>7.3115999999999994</v>
      </c>
      <c r="F33" s="49">
        <f>257.61*0.18+15</f>
        <v>61.369799999999998</v>
      </c>
      <c r="G33" s="49">
        <f>1652*0.25-10</f>
        <v>403</v>
      </c>
      <c r="H33" s="50">
        <f>1.39*0.18-0.04</f>
        <v>0.21019999999999997</v>
      </c>
      <c r="I33" s="50">
        <f>0.75*0.18</f>
        <v>0.13500000000000001</v>
      </c>
      <c r="J33" s="50"/>
      <c r="K33" s="50">
        <f>98.8*1.8</f>
        <v>177.84</v>
      </c>
      <c r="L33" s="50">
        <f>1625*0.18-30</f>
        <v>262.5</v>
      </c>
    </row>
    <row r="34" spans="1:12" s="43" customFormat="1">
      <c r="A34" s="56" t="s">
        <v>31</v>
      </c>
      <c r="B34" s="57" t="s">
        <v>32</v>
      </c>
      <c r="C34" s="58">
        <v>215</v>
      </c>
      <c r="D34" s="59">
        <v>7.0000000000000007E-2</v>
      </c>
      <c r="E34" s="59">
        <v>0.02</v>
      </c>
      <c r="F34" s="59">
        <v>15</v>
      </c>
      <c r="G34" s="59">
        <v>60</v>
      </c>
      <c r="H34" s="59"/>
      <c r="I34" s="59"/>
      <c r="J34" s="59">
        <v>0.03</v>
      </c>
      <c r="K34" s="59">
        <v>11.1</v>
      </c>
      <c r="L34" s="59">
        <v>2.8</v>
      </c>
    </row>
    <row r="35" spans="1:12" s="43" customFormat="1">
      <c r="A35" s="46"/>
      <c r="B35" s="60" t="s">
        <v>20</v>
      </c>
      <c r="C35" s="61">
        <v>40</v>
      </c>
      <c r="D35" s="62">
        <v>3.2</v>
      </c>
      <c r="E35" s="62">
        <v>0.79</v>
      </c>
      <c r="F35" s="62">
        <v>29.68</v>
      </c>
      <c r="G35" s="62">
        <v>104</v>
      </c>
      <c r="H35" s="63">
        <v>6.2000000000000006E-2</v>
      </c>
      <c r="I35" s="63"/>
      <c r="J35" s="63">
        <v>0.8</v>
      </c>
      <c r="K35" s="63">
        <v>38.04</v>
      </c>
      <c r="L35" s="63">
        <v>26</v>
      </c>
    </row>
    <row r="36" spans="1:12" s="43" customFormat="1">
      <c r="A36" s="64"/>
      <c r="B36" s="65" t="s">
        <v>29</v>
      </c>
      <c r="C36" s="66">
        <f t="shared" ref="C36:L36" si="0">SUM(C30:C35)</f>
        <v>885</v>
      </c>
      <c r="D36" s="67">
        <f t="shared" si="0"/>
        <v>30.001399999999997</v>
      </c>
      <c r="E36" s="67">
        <f t="shared" si="0"/>
        <v>30.766599999999997</v>
      </c>
      <c r="F36" s="67">
        <f t="shared" si="0"/>
        <v>132.7698</v>
      </c>
      <c r="G36" s="67">
        <f t="shared" si="0"/>
        <v>924.875</v>
      </c>
      <c r="H36" s="68">
        <f t="shared" si="0"/>
        <v>0.43219999999999997</v>
      </c>
      <c r="I36" s="68">
        <f t="shared" si="0"/>
        <v>0.49966666666666665</v>
      </c>
      <c r="J36" s="68">
        <f t="shared" si="0"/>
        <v>24.041958333333334</v>
      </c>
      <c r="K36" s="68">
        <f t="shared" si="0"/>
        <v>417.65777777777782</v>
      </c>
      <c r="L36" s="68">
        <f t="shared" si="0"/>
        <v>620.79874999999993</v>
      </c>
    </row>
    <row r="37" spans="1:12" s="43" customFormat="1">
      <c r="A37" s="157" t="s">
        <v>30</v>
      </c>
      <c r="B37" s="157"/>
      <c r="C37" s="157"/>
      <c r="D37" s="157"/>
      <c r="E37" s="157"/>
      <c r="F37" s="157"/>
      <c r="G37" s="157"/>
      <c r="H37" s="40"/>
      <c r="I37" s="41"/>
      <c r="J37" s="41"/>
      <c r="K37" s="41"/>
      <c r="L37" s="42"/>
    </row>
    <row r="38" spans="1:12" s="43" customFormat="1">
      <c r="A38" s="149" t="s">
        <v>21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50"/>
    </row>
    <row r="39" spans="1:12" s="43" customFormat="1">
      <c r="A39" s="46"/>
      <c r="B39" s="47" t="s">
        <v>22</v>
      </c>
      <c r="C39" s="48">
        <v>100</v>
      </c>
      <c r="D39" s="49">
        <f>0.66*100/60</f>
        <v>1.1000000000000001</v>
      </c>
      <c r="E39" s="49">
        <f>0.12*100/60</f>
        <v>0.2</v>
      </c>
      <c r="F39" s="49">
        <f>2.28*100/60</f>
        <v>3.7999999999999994</v>
      </c>
      <c r="G39" s="49">
        <f>14.4*100/60</f>
        <v>24</v>
      </c>
      <c r="H39" s="50">
        <f>0.036*100/60</f>
        <v>5.9999999999999991E-2</v>
      </c>
      <c r="I39" s="50">
        <f>0.1*100/60</f>
        <v>0.16666666666666666</v>
      </c>
      <c r="J39" s="50">
        <f>11*100/60-4</f>
        <v>14.333333333333332</v>
      </c>
      <c r="K39" s="50">
        <f>12.2*100/60</f>
        <v>20.333333333333332</v>
      </c>
      <c r="L39" s="50">
        <f>15.6*90/60</f>
        <v>23.4</v>
      </c>
    </row>
    <row r="40" spans="1:12" s="43" customFormat="1" ht="31.5">
      <c r="A40" s="69" t="s">
        <v>33</v>
      </c>
      <c r="B40" s="70" t="s">
        <v>34</v>
      </c>
      <c r="C40" s="71">
        <v>275</v>
      </c>
      <c r="D40" s="55">
        <f>8.78*0.35</f>
        <v>3.0729999999999995</v>
      </c>
      <c r="E40" s="55">
        <f>11.12*0.27+4</f>
        <v>7.0023999999999997</v>
      </c>
      <c r="F40" s="55">
        <f>71.65*0.345</f>
        <v>24.719249999999999</v>
      </c>
      <c r="G40" s="55">
        <f>424*0.375</f>
        <v>159</v>
      </c>
      <c r="H40" s="55">
        <f>0.48*0.275</f>
        <v>0.13200000000000001</v>
      </c>
      <c r="I40" s="55">
        <f>0.29*0.275</f>
        <v>7.9750000000000001E-2</v>
      </c>
      <c r="J40" s="55">
        <f>44.3*0.135-3</f>
        <v>2.9805000000000001</v>
      </c>
      <c r="K40" s="55">
        <f>118.8*0.275+40</f>
        <v>72.67</v>
      </c>
      <c r="L40" s="55">
        <f>289*0.475</f>
        <v>137.27500000000001</v>
      </c>
    </row>
    <row r="41" spans="1:12" s="43" customFormat="1">
      <c r="A41" s="69" t="s">
        <v>35</v>
      </c>
      <c r="B41" s="70" t="s">
        <v>36</v>
      </c>
      <c r="C41" s="71">
        <v>100</v>
      </c>
      <c r="D41" s="55">
        <f>(10.75+5)/90*100</f>
        <v>17.5</v>
      </c>
      <c r="E41" s="55">
        <f>(4.952+2+5)/90*100</f>
        <v>13.28</v>
      </c>
      <c r="F41" s="55">
        <f>5.8/90*100</f>
        <v>6.4444444444444446</v>
      </c>
      <c r="G41" s="55">
        <f>(105+50)/90*110</f>
        <v>189.44444444444446</v>
      </c>
      <c r="H41" s="55">
        <f>0.05/90*100</f>
        <v>5.5555555555555552E-2</v>
      </c>
      <c r="I41" s="55">
        <f>(0.05+0.01)/90*100</f>
        <v>6.666666666666668E-2</v>
      </c>
      <c r="J41" s="55">
        <f>(3.73-3)/90*100</f>
        <v>0.81111111111111112</v>
      </c>
      <c r="K41" s="55">
        <f>(39.07+40)/90*150</f>
        <v>131.78333333333333</v>
      </c>
      <c r="L41" s="55">
        <f>(162.19+100)/90*100</f>
        <v>291.32222222222219</v>
      </c>
    </row>
    <row r="42" spans="1:12" s="43" customFormat="1">
      <c r="A42" s="69" t="s">
        <v>37</v>
      </c>
      <c r="B42" s="70" t="s">
        <v>38</v>
      </c>
      <c r="C42" s="71">
        <v>180</v>
      </c>
      <c r="D42" s="55">
        <f>2.17*1.8</f>
        <v>3.9060000000000001</v>
      </c>
      <c r="E42" s="55">
        <f>6.41*1.8-4</f>
        <v>7.5380000000000003</v>
      </c>
      <c r="F42" s="55">
        <f>15.59*1.8+10</f>
        <v>38.061999999999998</v>
      </c>
      <c r="G42" s="55">
        <f>121*1.8+70</f>
        <v>287.8</v>
      </c>
      <c r="H42" s="55">
        <f>0.1/150*180</f>
        <v>0.12000000000000001</v>
      </c>
      <c r="I42" s="55">
        <f>(0.08*2+0.04)/150*180</f>
        <v>0.24000000000000002</v>
      </c>
      <c r="J42" s="55">
        <f>(12.46-9.5)/150*180</f>
        <v>3.5520000000000009</v>
      </c>
      <c r="K42" s="55">
        <f>(29.16+40)/150*180+50</f>
        <v>132.99199999999999</v>
      </c>
      <c r="L42" s="55">
        <f>(60.92+20)/150*180</f>
        <v>97.103999999999999</v>
      </c>
    </row>
    <row r="43" spans="1:12" s="43" customFormat="1">
      <c r="A43" s="56" t="s">
        <v>31</v>
      </c>
      <c r="B43" s="57" t="s">
        <v>32</v>
      </c>
      <c r="C43" s="58">
        <v>215</v>
      </c>
      <c r="D43" s="59">
        <v>7.0000000000000007E-2</v>
      </c>
      <c r="E43" s="59">
        <v>0.02</v>
      </c>
      <c r="F43" s="59">
        <v>15</v>
      </c>
      <c r="G43" s="59">
        <v>60</v>
      </c>
      <c r="H43" s="59"/>
      <c r="I43" s="59"/>
      <c r="J43" s="59">
        <v>0.03</v>
      </c>
      <c r="K43" s="59">
        <v>11.1</v>
      </c>
      <c r="L43" s="59">
        <v>2.8</v>
      </c>
    </row>
    <row r="44" spans="1:12" s="43" customFormat="1">
      <c r="A44" s="72"/>
      <c r="B44" s="57" t="s">
        <v>20</v>
      </c>
      <c r="C44" s="58">
        <v>40</v>
      </c>
      <c r="D44" s="63">
        <v>3.2</v>
      </c>
      <c r="E44" s="63">
        <v>0.79</v>
      </c>
      <c r="F44" s="63">
        <v>29.68</v>
      </c>
      <c r="G44" s="63">
        <v>104</v>
      </c>
      <c r="H44" s="63">
        <v>6.2000000000000006E-2</v>
      </c>
      <c r="I44" s="63"/>
      <c r="J44" s="63">
        <v>0.8</v>
      </c>
      <c r="K44" s="63">
        <v>18.044444444444444</v>
      </c>
      <c r="L44" s="63">
        <v>26</v>
      </c>
    </row>
    <row r="45" spans="1:12" s="43" customFormat="1">
      <c r="A45" s="64"/>
      <c r="B45" s="65" t="s">
        <v>29</v>
      </c>
      <c r="C45" s="66">
        <f t="shared" ref="C45:J45" si="1">SUM(C39:C44)</f>
        <v>910</v>
      </c>
      <c r="D45" s="67">
        <f t="shared" si="1"/>
        <v>28.849</v>
      </c>
      <c r="E45" s="67">
        <f t="shared" si="1"/>
        <v>28.830399999999997</v>
      </c>
      <c r="F45" s="67">
        <f t="shared" si="1"/>
        <v>117.70569444444445</v>
      </c>
      <c r="G45" s="67">
        <f t="shared" si="1"/>
        <v>824.24444444444453</v>
      </c>
      <c r="H45" s="68">
        <f t="shared" si="1"/>
        <v>0.42955555555555558</v>
      </c>
      <c r="I45" s="68">
        <f t="shared" si="1"/>
        <v>0.55308333333333337</v>
      </c>
      <c r="J45" s="68">
        <f t="shared" si="1"/>
        <v>22.506944444444443</v>
      </c>
      <c r="K45" s="68">
        <f>SUM(K39:K44)</f>
        <v>386.9231111111111</v>
      </c>
      <c r="L45" s="68">
        <f>SUM(L39:L44)</f>
        <v>577.90122222222215</v>
      </c>
    </row>
    <row r="46" spans="1:12" s="43" customFormat="1">
      <c r="A46" s="148" t="s">
        <v>39</v>
      </c>
      <c r="B46" s="148"/>
      <c r="C46" s="148"/>
      <c r="D46" s="148"/>
      <c r="E46" s="148"/>
      <c r="F46" s="148"/>
      <c r="G46" s="148"/>
      <c r="H46" s="44"/>
      <c r="I46" s="44"/>
      <c r="J46" s="44"/>
      <c r="K46" s="44"/>
      <c r="L46" s="45"/>
    </row>
    <row r="47" spans="1:12" s="43" customFormat="1">
      <c r="A47" s="149" t="s">
        <v>21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50"/>
    </row>
    <row r="48" spans="1:12" s="77" customFormat="1">
      <c r="A48" s="73" t="s">
        <v>68</v>
      </c>
      <c r="B48" s="74" t="s">
        <v>69</v>
      </c>
      <c r="C48" s="75">
        <v>250</v>
      </c>
      <c r="D48" s="76">
        <f>8.07*0.25</f>
        <v>2.0175000000000001</v>
      </c>
      <c r="E48" s="76">
        <f>20.36*0.5</f>
        <v>10.18</v>
      </c>
      <c r="F48" s="76">
        <f>47.92*0.25</f>
        <v>11.98</v>
      </c>
      <c r="G48" s="76">
        <f>429*0.5</f>
        <v>214.5</v>
      </c>
      <c r="H48" s="76">
        <f>0.37*0.25</f>
        <v>9.2499999999999999E-2</v>
      </c>
      <c r="I48" s="76">
        <f>0.23*0.5</f>
        <v>0.115</v>
      </c>
      <c r="J48" s="76">
        <f>33.5*0.25</f>
        <v>8.375</v>
      </c>
      <c r="K48" s="76">
        <f>(116.6+4)/200*250</f>
        <v>150.75</v>
      </c>
      <c r="L48" s="76">
        <f>(226.9+5)/200*230</f>
        <v>266.685</v>
      </c>
    </row>
    <row r="49" spans="1:12" s="43" customFormat="1">
      <c r="A49" s="73" t="s">
        <v>25</v>
      </c>
      <c r="B49" s="78" t="s">
        <v>40</v>
      </c>
      <c r="C49" s="75">
        <v>180</v>
      </c>
      <c r="D49" s="79">
        <f>42.1*0.18+2</f>
        <v>9.5779999999999994</v>
      </c>
      <c r="E49" s="79">
        <f>30.03*0.18</f>
        <v>5.4054000000000002</v>
      </c>
      <c r="F49" s="79">
        <f>259.01*0.18</f>
        <v>46.621799999999993</v>
      </c>
      <c r="G49" s="79">
        <f>1475*0.18</f>
        <v>265.5</v>
      </c>
      <c r="H49" s="79">
        <f>0.82*0.18+0.1</f>
        <v>0.24759999999999999</v>
      </c>
      <c r="I49" s="79">
        <f>0.34*0.15+0.03+0.15</f>
        <v>0.23099999999999998</v>
      </c>
      <c r="J49" s="79"/>
      <c r="K49" s="79">
        <f>160.03</f>
        <v>160.03</v>
      </c>
      <c r="L49" s="79">
        <f>1059.8*0.2</f>
        <v>211.96</v>
      </c>
    </row>
    <row r="50" spans="1:12" s="77" customFormat="1">
      <c r="A50" s="73" t="s">
        <v>23</v>
      </c>
      <c r="B50" s="78" t="s">
        <v>112</v>
      </c>
      <c r="C50" s="75">
        <v>120</v>
      </c>
      <c r="D50" s="76">
        <f>7.49/100*120+3</f>
        <v>11.988000000000001</v>
      </c>
      <c r="E50" s="76">
        <f>9.19/80*120</f>
        <v>13.784999999999998</v>
      </c>
      <c r="F50" s="76">
        <f>8.24/100*120</f>
        <v>9.8879999999999999</v>
      </c>
      <c r="G50" s="76">
        <f>147-20</f>
        <v>127</v>
      </c>
      <c r="H50" s="76">
        <f>0.03/100*120</f>
        <v>3.5999999999999997E-2</v>
      </c>
      <c r="I50" s="76">
        <f>(0.07+0.03)*1.3</f>
        <v>0.13</v>
      </c>
      <c r="J50" s="76">
        <v>0.01</v>
      </c>
      <c r="K50" s="76">
        <f>13.4+7</f>
        <v>20.399999999999999</v>
      </c>
      <c r="L50" s="76">
        <f>90.19+20</f>
        <v>110.19</v>
      </c>
    </row>
    <row r="51" spans="1:12" s="43" customFormat="1">
      <c r="A51" s="80" t="s">
        <v>16</v>
      </c>
      <c r="B51" s="81" t="s">
        <v>17</v>
      </c>
      <c r="C51" s="80">
        <v>100</v>
      </c>
      <c r="D51" s="50">
        <v>0.4</v>
      </c>
      <c r="E51" s="50">
        <v>0.2</v>
      </c>
      <c r="F51" s="50">
        <v>9.8000000000000007</v>
      </c>
      <c r="G51" s="50">
        <v>47</v>
      </c>
      <c r="H51" s="50">
        <v>0.04</v>
      </c>
      <c r="I51" s="50">
        <v>0.05</v>
      </c>
      <c r="J51" s="50">
        <f>15</f>
        <v>15</v>
      </c>
      <c r="K51" s="50">
        <f>16+10</f>
        <v>26</v>
      </c>
      <c r="L51" s="50">
        <v>11</v>
      </c>
    </row>
    <row r="52" spans="1:12" s="43" customFormat="1">
      <c r="A52" s="56" t="s">
        <v>31</v>
      </c>
      <c r="B52" s="57" t="s">
        <v>32</v>
      </c>
      <c r="C52" s="58">
        <v>215</v>
      </c>
      <c r="D52" s="59">
        <v>7.0000000000000007E-2</v>
      </c>
      <c r="E52" s="59">
        <v>0.02</v>
      </c>
      <c r="F52" s="59">
        <v>15</v>
      </c>
      <c r="G52" s="59">
        <v>60</v>
      </c>
      <c r="H52" s="59"/>
      <c r="I52" s="59"/>
      <c r="J52" s="59">
        <v>0.03</v>
      </c>
      <c r="K52" s="59">
        <v>11.1</v>
      </c>
      <c r="L52" s="59">
        <v>2.8</v>
      </c>
    </row>
    <row r="53" spans="1:12" s="43" customFormat="1">
      <c r="A53" s="82"/>
      <c r="B53" s="57" t="s">
        <v>20</v>
      </c>
      <c r="C53" s="58">
        <v>40</v>
      </c>
      <c r="D53" s="63">
        <v>3.2</v>
      </c>
      <c r="E53" s="63">
        <v>0.79</v>
      </c>
      <c r="F53" s="63">
        <v>29.68</v>
      </c>
      <c r="G53" s="63">
        <v>104</v>
      </c>
      <c r="H53" s="63">
        <v>6.2000000000000006E-2</v>
      </c>
      <c r="I53" s="63"/>
      <c r="J53" s="63">
        <v>0.8</v>
      </c>
      <c r="K53" s="63">
        <v>18.044444444444444</v>
      </c>
      <c r="L53" s="63">
        <v>26</v>
      </c>
    </row>
    <row r="54" spans="1:12" s="43" customFormat="1">
      <c r="A54" s="64"/>
      <c r="B54" s="65" t="s">
        <v>29</v>
      </c>
      <c r="C54" s="66">
        <f t="shared" ref="C54:L54" si="2">SUM(C48:C53)</f>
        <v>905</v>
      </c>
      <c r="D54" s="67">
        <f t="shared" si="2"/>
        <v>27.253499999999999</v>
      </c>
      <c r="E54" s="67">
        <f t="shared" si="2"/>
        <v>30.380399999999995</v>
      </c>
      <c r="F54" s="67">
        <f t="shared" si="2"/>
        <v>122.96979999999999</v>
      </c>
      <c r="G54" s="67">
        <f t="shared" si="2"/>
        <v>818</v>
      </c>
      <c r="H54" s="68">
        <f t="shared" si="2"/>
        <v>0.47809999999999991</v>
      </c>
      <c r="I54" s="68">
        <f t="shared" si="2"/>
        <v>0.52600000000000002</v>
      </c>
      <c r="J54" s="68">
        <f t="shared" si="2"/>
        <v>24.215</v>
      </c>
      <c r="K54" s="68">
        <f t="shared" si="2"/>
        <v>386.3244444444444</v>
      </c>
      <c r="L54" s="68">
        <f t="shared" si="2"/>
        <v>628.63499999999999</v>
      </c>
    </row>
    <row r="55" spans="1:12" s="43" customFormat="1">
      <c r="A55" s="160" t="s">
        <v>43</v>
      </c>
      <c r="B55" s="161"/>
      <c r="C55" s="161"/>
      <c r="D55" s="161"/>
      <c r="E55" s="161"/>
      <c r="F55" s="161"/>
      <c r="G55" s="162"/>
      <c r="H55" s="44"/>
      <c r="I55" s="44"/>
      <c r="J55" s="44"/>
      <c r="K55" s="44"/>
      <c r="L55" s="45"/>
    </row>
    <row r="56" spans="1:12" s="43" customFormat="1">
      <c r="A56" s="149" t="s">
        <v>21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50"/>
    </row>
    <row r="57" spans="1:12" s="43" customFormat="1" ht="31.5">
      <c r="A57" s="73" t="s">
        <v>44</v>
      </c>
      <c r="B57" s="74" t="s">
        <v>113</v>
      </c>
      <c r="C57" s="75">
        <v>250</v>
      </c>
      <c r="D57" s="55">
        <f>7.06*0.25</f>
        <v>1.7649999999999999</v>
      </c>
      <c r="E57" s="55">
        <f>19.8*0.2+5</f>
        <v>8.9600000000000009</v>
      </c>
      <c r="F57" s="55">
        <f>31.61*0.25</f>
        <v>7.9024999999999999</v>
      </c>
      <c r="G57" s="55">
        <f>359*0.25</f>
        <v>89.75</v>
      </c>
      <c r="H57" s="55">
        <f>(0.23*0.2-0.04)/200*250</f>
        <v>7.5000000000000067E-3</v>
      </c>
      <c r="I57" s="55">
        <f>0.19*0.25</f>
        <v>4.7500000000000001E-2</v>
      </c>
      <c r="J57" s="55">
        <f>63.1*0.25</f>
        <v>15.775</v>
      </c>
      <c r="K57" s="55">
        <f>197*0.6/200*250+20</f>
        <v>167.75</v>
      </c>
      <c r="L57" s="55">
        <f>196*0.6/200*250</f>
        <v>147</v>
      </c>
    </row>
    <row r="58" spans="1:12" s="43" customFormat="1">
      <c r="A58" s="73" t="s">
        <v>45</v>
      </c>
      <c r="B58" s="78" t="s">
        <v>46</v>
      </c>
      <c r="C58" s="75">
        <v>100</v>
      </c>
      <c r="D58" s="50">
        <f>13.26/90*100+2</f>
        <v>16.733333333333334</v>
      </c>
      <c r="E58" s="50">
        <f>11.23/90*100+2</f>
        <v>14.477777777777778</v>
      </c>
      <c r="F58" s="50">
        <f>3.52/90*100+10</f>
        <v>13.911111111111111</v>
      </c>
      <c r="G58" s="50">
        <f>185/90*100+40</f>
        <v>245.55555555555554</v>
      </c>
      <c r="H58" s="50">
        <f>(0.2-0.01)/90*100+0.1</f>
        <v>0.31111111111111112</v>
      </c>
      <c r="I58" s="50">
        <f>0.1/90*100+0.08</f>
        <v>0.19111111111111112</v>
      </c>
      <c r="J58" s="50"/>
      <c r="K58" s="50">
        <f>(33.24+20)/90*120</f>
        <v>70.986666666666679</v>
      </c>
      <c r="L58" s="50">
        <f>(239.32+50)/90*100</f>
        <v>321.46666666666664</v>
      </c>
    </row>
    <row r="59" spans="1:12" s="43" customFormat="1">
      <c r="A59" s="73" t="s">
        <v>47</v>
      </c>
      <c r="B59" s="78" t="s">
        <v>48</v>
      </c>
      <c r="C59" s="75">
        <v>180</v>
      </c>
      <c r="D59" s="50">
        <f>36.78*0.18+2</f>
        <v>8.6204000000000001</v>
      </c>
      <c r="E59" s="50">
        <f>30.1*0.18</f>
        <v>5.4180000000000001</v>
      </c>
      <c r="F59" s="50">
        <f>176.3*0.18+40</f>
        <v>71.734000000000009</v>
      </c>
      <c r="G59" s="50">
        <f>1123*0.18+150</f>
        <v>352.14</v>
      </c>
      <c r="H59" s="50">
        <f>0.17*0.18</f>
        <v>3.0600000000000002E-2</v>
      </c>
      <c r="I59" s="50">
        <f>1.18*0.18</f>
        <v>0.21239999999999998</v>
      </c>
      <c r="J59" s="50"/>
      <c r="K59" s="50">
        <f>32.4/150*180+40</f>
        <v>78.88</v>
      </c>
      <c r="L59" s="50">
        <f>(247.8*0.15+10)/150*180</f>
        <v>56.603999999999999</v>
      </c>
    </row>
    <row r="60" spans="1:12" s="43" customFormat="1">
      <c r="A60" s="56" t="s">
        <v>31</v>
      </c>
      <c r="B60" s="57" t="s">
        <v>32</v>
      </c>
      <c r="C60" s="58">
        <v>215</v>
      </c>
      <c r="D60" s="59">
        <v>7.0000000000000007E-2</v>
      </c>
      <c r="E60" s="59">
        <v>0.02</v>
      </c>
      <c r="F60" s="59">
        <v>15</v>
      </c>
      <c r="G60" s="59">
        <v>60</v>
      </c>
      <c r="H60" s="59"/>
      <c r="I60" s="59"/>
      <c r="J60" s="59">
        <v>0.03</v>
      </c>
      <c r="K60" s="59">
        <v>11.1</v>
      </c>
      <c r="L60" s="59">
        <v>2.8</v>
      </c>
    </row>
    <row r="61" spans="1:12" s="43" customFormat="1">
      <c r="A61" s="80" t="s">
        <v>16</v>
      </c>
      <c r="B61" s="81" t="s">
        <v>17</v>
      </c>
      <c r="C61" s="80">
        <v>100</v>
      </c>
      <c r="D61" s="50">
        <v>0.4</v>
      </c>
      <c r="E61" s="50">
        <v>0.2</v>
      </c>
      <c r="F61" s="50">
        <v>9.8000000000000007</v>
      </c>
      <c r="G61" s="50">
        <v>47</v>
      </c>
      <c r="H61" s="50">
        <v>0.04</v>
      </c>
      <c r="I61" s="50">
        <v>0.05</v>
      </c>
      <c r="J61" s="50">
        <f>10-3</f>
        <v>7</v>
      </c>
      <c r="K61" s="50">
        <f>16+10</f>
        <v>26</v>
      </c>
      <c r="L61" s="50">
        <v>11</v>
      </c>
    </row>
    <row r="62" spans="1:12" s="43" customFormat="1">
      <c r="A62" s="73"/>
      <c r="B62" s="78" t="s">
        <v>20</v>
      </c>
      <c r="C62" s="75">
        <v>40</v>
      </c>
      <c r="D62" s="50">
        <v>1.32</v>
      </c>
      <c r="E62" s="50">
        <v>0.24</v>
      </c>
      <c r="F62" s="50">
        <v>7.9279999999999999</v>
      </c>
      <c r="G62" s="50">
        <v>39.6</v>
      </c>
      <c r="H62" s="50">
        <v>3.4000000000000002E-2</v>
      </c>
      <c r="I62" s="50"/>
      <c r="J62" s="50">
        <v>0</v>
      </c>
      <c r="K62" s="50">
        <v>5.8</v>
      </c>
      <c r="L62" s="50">
        <v>30</v>
      </c>
    </row>
    <row r="63" spans="1:12" s="43" customFormat="1">
      <c r="A63" s="64"/>
      <c r="B63" s="65" t="s">
        <v>29</v>
      </c>
      <c r="C63" s="66">
        <f t="shared" ref="C63:J63" si="3">SUM(C57:C62)</f>
        <v>885</v>
      </c>
      <c r="D63" s="67">
        <f t="shared" si="3"/>
        <v>28.908733333333334</v>
      </c>
      <c r="E63" s="67">
        <f t="shared" si="3"/>
        <v>29.315777777777775</v>
      </c>
      <c r="F63" s="67">
        <f t="shared" si="3"/>
        <v>126.27561111111112</v>
      </c>
      <c r="G63" s="67">
        <f t="shared" si="3"/>
        <v>834.04555555555555</v>
      </c>
      <c r="H63" s="68">
        <f t="shared" si="3"/>
        <v>0.42321111111111109</v>
      </c>
      <c r="I63" s="68">
        <f t="shared" si="3"/>
        <v>0.50101111111111107</v>
      </c>
      <c r="J63" s="68">
        <f t="shared" si="3"/>
        <v>22.805</v>
      </c>
      <c r="K63" s="68">
        <f>SUM(K57:K62)</f>
        <v>360.51666666666671</v>
      </c>
      <c r="L63" s="68">
        <f>SUM(L57:L62)</f>
        <v>568.87066666666658</v>
      </c>
    </row>
    <row r="64" spans="1:12" s="43" customFormat="1">
      <c r="A64" s="148" t="s">
        <v>49</v>
      </c>
      <c r="B64" s="148"/>
      <c r="C64" s="148"/>
      <c r="D64" s="148"/>
      <c r="E64" s="148"/>
      <c r="F64" s="148"/>
      <c r="G64" s="148"/>
      <c r="H64" s="44"/>
      <c r="I64" s="44"/>
      <c r="J64" s="44"/>
      <c r="K64" s="44"/>
      <c r="L64" s="45"/>
    </row>
    <row r="65" spans="1:12" s="43" customFormat="1">
      <c r="A65" s="149" t="s">
        <v>21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50"/>
    </row>
    <row r="66" spans="1:12" s="43" customFormat="1">
      <c r="A66" s="46"/>
      <c r="B66" s="47" t="s">
        <v>22</v>
      </c>
      <c r="C66" s="48">
        <v>100</v>
      </c>
      <c r="D66" s="49">
        <f>0.66*100/60</f>
        <v>1.1000000000000001</v>
      </c>
      <c r="E66" s="49">
        <f>0.12*100/60</f>
        <v>0.2</v>
      </c>
      <c r="F66" s="49">
        <f>2.28*100/60</f>
        <v>3.7999999999999994</v>
      </c>
      <c r="G66" s="49">
        <f>14.4*100/60</f>
        <v>24</v>
      </c>
      <c r="H66" s="50">
        <f>0.036*100/60</f>
        <v>5.9999999999999991E-2</v>
      </c>
      <c r="I66" s="50">
        <f>0.1*100/60</f>
        <v>0.16666666666666666</v>
      </c>
      <c r="J66" s="50">
        <f>11*100/60-4</f>
        <v>14.333333333333332</v>
      </c>
      <c r="K66" s="50">
        <f>12.2*100/60</f>
        <v>20.333333333333332</v>
      </c>
      <c r="L66" s="50">
        <f>15.6*90/60</f>
        <v>23.4</v>
      </c>
    </row>
    <row r="67" spans="1:12" s="43" customFormat="1" ht="31.5">
      <c r="A67" s="73" t="s">
        <v>52</v>
      </c>
      <c r="B67" s="74" t="s">
        <v>53</v>
      </c>
      <c r="C67" s="75">
        <v>250</v>
      </c>
      <c r="D67" s="55">
        <f>21.96*0.25</f>
        <v>5.49</v>
      </c>
      <c r="E67" s="55">
        <f>21.08*0.25</f>
        <v>5.27</v>
      </c>
      <c r="F67" s="55">
        <f>66.14*0.25+10</f>
        <v>26.535</v>
      </c>
      <c r="G67" s="55">
        <f>593*0.25+40</f>
        <v>188.25</v>
      </c>
      <c r="H67" s="55">
        <f>0.91*0.25-0.09</f>
        <v>0.13750000000000001</v>
      </c>
      <c r="I67" s="55">
        <f>0.29*0.25+0.04</f>
        <v>0.11249999999999999</v>
      </c>
      <c r="J67" s="55">
        <f>23.3*0.25+1</f>
        <v>6.8250000000000002</v>
      </c>
      <c r="K67" s="55">
        <f>170.7*0.25+80</f>
        <v>122.675</v>
      </c>
      <c r="L67" s="55">
        <f>352.4*0.25+35</f>
        <v>123.1</v>
      </c>
    </row>
    <row r="68" spans="1:12" s="43" customFormat="1">
      <c r="A68" s="73" t="s">
        <v>50</v>
      </c>
      <c r="B68" s="74" t="s">
        <v>51</v>
      </c>
      <c r="C68" s="75">
        <v>100</v>
      </c>
      <c r="D68" s="50">
        <f>14.5-2</f>
        <v>12.5</v>
      </c>
      <c r="E68" s="50">
        <v>16.79</v>
      </c>
      <c r="F68" s="50">
        <v>2.89</v>
      </c>
      <c r="G68" s="50">
        <f>221</f>
        <v>221</v>
      </c>
      <c r="H68" s="50">
        <v>0.03</v>
      </c>
      <c r="I68" s="50">
        <v>0.1</v>
      </c>
      <c r="J68" s="50">
        <v>0.92</v>
      </c>
      <c r="K68" s="50">
        <f>21.81+40</f>
        <v>61.81</v>
      </c>
      <c r="L68" s="50">
        <v>154.15</v>
      </c>
    </row>
    <row r="69" spans="1:12" s="43" customFormat="1">
      <c r="A69" s="46" t="s">
        <v>25</v>
      </c>
      <c r="B69" s="47" t="s">
        <v>26</v>
      </c>
      <c r="C69" s="48">
        <v>180</v>
      </c>
      <c r="D69" s="49">
        <f>52.73*0.18</f>
        <v>9.4913999999999987</v>
      </c>
      <c r="E69" s="49">
        <f>40.62*0.18</f>
        <v>7.3115999999999994</v>
      </c>
      <c r="F69" s="49">
        <f>257.61*0.18+15</f>
        <v>61.369799999999998</v>
      </c>
      <c r="G69" s="49">
        <f>1652*0.25-10</f>
        <v>403</v>
      </c>
      <c r="H69" s="50">
        <f>1.39*0.18-0.04</f>
        <v>0.21019999999999997</v>
      </c>
      <c r="I69" s="50">
        <f>0.75*0.18</f>
        <v>0.13500000000000001</v>
      </c>
      <c r="J69" s="50"/>
      <c r="K69" s="50">
        <f>98.8*1.9</f>
        <v>187.72</v>
      </c>
      <c r="L69" s="50">
        <f>1625*0.18-30</f>
        <v>262.5</v>
      </c>
    </row>
    <row r="70" spans="1:12" s="43" customFormat="1">
      <c r="A70" s="56" t="s">
        <v>31</v>
      </c>
      <c r="B70" s="57" t="s">
        <v>32</v>
      </c>
      <c r="C70" s="58">
        <v>215</v>
      </c>
      <c r="D70" s="59">
        <v>7.0000000000000007E-2</v>
      </c>
      <c r="E70" s="59">
        <v>0.02</v>
      </c>
      <c r="F70" s="59">
        <v>15</v>
      </c>
      <c r="G70" s="59">
        <v>60</v>
      </c>
      <c r="H70" s="59"/>
      <c r="I70" s="59"/>
      <c r="J70" s="59">
        <v>0.03</v>
      </c>
      <c r="K70" s="59">
        <v>11.1</v>
      </c>
      <c r="L70" s="59">
        <v>2.8</v>
      </c>
    </row>
    <row r="71" spans="1:12" s="43" customFormat="1">
      <c r="A71" s="73"/>
      <c r="B71" s="78" t="s">
        <v>20</v>
      </c>
      <c r="C71" s="75">
        <v>40</v>
      </c>
      <c r="D71" s="50">
        <v>1.32</v>
      </c>
      <c r="E71" s="50">
        <v>0.24</v>
      </c>
      <c r="F71" s="50">
        <v>7.9279999999999999</v>
      </c>
      <c r="G71" s="50">
        <v>39.6</v>
      </c>
      <c r="H71" s="50">
        <v>3.4000000000000002E-2</v>
      </c>
      <c r="I71" s="50"/>
      <c r="J71" s="50">
        <v>0</v>
      </c>
      <c r="K71" s="50">
        <v>5.8</v>
      </c>
      <c r="L71" s="50">
        <v>30</v>
      </c>
    </row>
    <row r="72" spans="1:12" s="43" customFormat="1">
      <c r="A72" s="64"/>
      <c r="B72" s="65" t="s">
        <v>29</v>
      </c>
      <c r="C72" s="66">
        <f t="shared" ref="C72:J72" si="4">SUM(C66:C71)</f>
        <v>885</v>
      </c>
      <c r="D72" s="67">
        <f t="shared" si="4"/>
        <v>29.971399999999999</v>
      </c>
      <c r="E72" s="67">
        <f t="shared" si="4"/>
        <v>29.831599999999995</v>
      </c>
      <c r="F72" s="67">
        <f t="shared" si="4"/>
        <v>117.52279999999999</v>
      </c>
      <c r="G72" s="67">
        <f>SUM(G66:G71)</f>
        <v>935.85</v>
      </c>
      <c r="H72" s="68">
        <f t="shared" si="4"/>
        <v>0.47170000000000001</v>
      </c>
      <c r="I72" s="68">
        <f t="shared" si="4"/>
        <v>0.51416666666666666</v>
      </c>
      <c r="J72" s="68">
        <f t="shared" si="4"/>
        <v>22.108333333333334</v>
      </c>
      <c r="K72" s="68">
        <f>SUM(K66:K71)</f>
        <v>409.43833333333333</v>
      </c>
      <c r="L72" s="68">
        <f>SUM(L66:L71)</f>
        <v>595.94999999999993</v>
      </c>
    </row>
    <row r="73" spans="1:12" s="43" customFormat="1">
      <c r="A73" s="163" t="s">
        <v>55</v>
      </c>
      <c r="B73" s="164"/>
      <c r="C73" s="83">
        <f t="shared" ref="C73:L73" si="5">SUM(C36,C45,C54,C63,C72)/5</f>
        <v>894</v>
      </c>
      <c r="D73" s="84">
        <f t="shared" si="5"/>
        <v>28.996806666666664</v>
      </c>
      <c r="E73" s="84">
        <f t="shared" si="5"/>
        <v>29.824955555555551</v>
      </c>
      <c r="F73" s="84">
        <f t="shared" si="5"/>
        <v>123.44874111111112</v>
      </c>
      <c r="G73" s="84">
        <f t="shared" si="5"/>
        <v>867.40300000000002</v>
      </c>
      <c r="H73" s="84">
        <f t="shared" si="5"/>
        <v>0.44695333333333326</v>
      </c>
      <c r="I73" s="84">
        <f t="shared" si="5"/>
        <v>0.5187855555555555</v>
      </c>
      <c r="J73" s="84">
        <f t="shared" si="5"/>
        <v>23.135447222222218</v>
      </c>
      <c r="K73" s="84">
        <f t="shared" si="5"/>
        <v>392.17206666666664</v>
      </c>
      <c r="L73" s="84">
        <f t="shared" si="5"/>
        <v>598.43112777777765</v>
      </c>
    </row>
    <row r="74" spans="1:12" s="43" customFormat="1">
      <c r="A74" s="157" t="s">
        <v>56</v>
      </c>
      <c r="B74" s="157"/>
      <c r="C74" s="157"/>
      <c r="D74" s="157"/>
      <c r="E74" s="157"/>
      <c r="F74" s="157"/>
      <c r="G74" s="157"/>
      <c r="H74" s="85"/>
      <c r="I74" s="86"/>
      <c r="J74" s="86"/>
      <c r="K74" s="86"/>
      <c r="L74" s="87"/>
    </row>
    <row r="75" spans="1:12" s="43" customFormat="1">
      <c r="A75" s="151" t="s">
        <v>21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2"/>
    </row>
    <row r="76" spans="1:12" s="77" customFormat="1">
      <c r="A76" s="46"/>
      <c r="B76" s="47" t="s">
        <v>22</v>
      </c>
      <c r="C76" s="48">
        <v>100</v>
      </c>
      <c r="D76" s="49">
        <f>0.66*100/60</f>
        <v>1.1000000000000001</v>
      </c>
      <c r="E76" s="49">
        <f>0.12*100/60</f>
        <v>0.2</v>
      </c>
      <c r="F76" s="49">
        <f>2.28*100/60</f>
        <v>3.7999999999999994</v>
      </c>
      <c r="G76" s="49">
        <f>14.4*100/60</f>
        <v>24</v>
      </c>
      <c r="H76" s="50">
        <f>0.036*100/60</f>
        <v>5.9999999999999991E-2</v>
      </c>
      <c r="I76" s="50">
        <f>0.1*100/60</f>
        <v>0.16666666666666666</v>
      </c>
      <c r="J76" s="50">
        <f>11*100/60-10</f>
        <v>8.3333333333333321</v>
      </c>
      <c r="K76" s="50">
        <f>12.2*100/60</f>
        <v>20.333333333333332</v>
      </c>
      <c r="L76" s="50">
        <f>15.6*90/60</f>
        <v>23.4</v>
      </c>
    </row>
    <row r="77" spans="1:12" s="43" customFormat="1" ht="31.5">
      <c r="A77" s="51">
        <v>82</v>
      </c>
      <c r="B77" s="52" t="s">
        <v>111</v>
      </c>
      <c r="C77" s="53">
        <v>250</v>
      </c>
      <c r="D77" s="54">
        <f>7.21*0.25+2</f>
        <v>3.8025000000000002</v>
      </c>
      <c r="E77" s="54">
        <f>19.68*0.25+5</f>
        <v>9.92</v>
      </c>
      <c r="F77" s="54">
        <f>47.73*0.25</f>
        <v>11.932499999999999</v>
      </c>
      <c r="G77" s="54">
        <f>415*0.25+50</f>
        <v>153.75</v>
      </c>
      <c r="H77" s="55">
        <f>0.2*0.25</f>
        <v>0.05</v>
      </c>
      <c r="I77" s="55">
        <f>0.19*0.45</f>
        <v>8.5500000000000007E-2</v>
      </c>
      <c r="J77" s="55">
        <f>42.7*0.22-2</f>
        <v>7.3940000000000001</v>
      </c>
      <c r="K77" s="55">
        <f>51*2.5</f>
        <v>127.5</v>
      </c>
      <c r="L77" s="55">
        <f>1359.5*0.15-10</f>
        <v>193.92499999999998</v>
      </c>
    </row>
    <row r="78" spans="1:12" s="77" customFormat="1">
      <c r="A78" s="73" t="s">
        <v>57</v>
      </c>
      <c r="B78" s="74" t="s">
        <v>114</v>
      </c>
      <c r="C78" s="75">
        <v>100</v>
      </c>
      <c r="D78" s="54">
        <f>6.61/90*100+6</f>
        <v>13.344444444444445</v>
      </c>
      <c r="E78" s="54">
        <f>6.44/90*100+5</f>
        <v>12.155555555555557</v>
      </c>
      <c r="F78" s="54">
        <f>9.41/90*100</f>
        <v>10.455555555555556</v>
      </c>
      <c r="G78" s="54">
        <f>122/90*100+20</f>
        <v>155.55555555555557</v>
      </c>
      <c r="H78" s="55">
        <f>(0.06+0.03)/90*100+0.1</f>
        <v>0.2</v>
      </c>
      <c r="I78" s="55">
        <f>(0.05+0.05)/90*100</f>
        <v>0.1111111111111111</v>
      </c>
      <c r="J78" s="55"/>
      <c r="K78" s="55">
        <f>51.05/90*100</f>
        <v>56.722222222222221</v>
      </c>
      <c r="L78" s="55">
        <f>(97.9+50)/90*100</f>
        <v>164.33333333333334</v>
      </c>
    </row>
    <row r="79" spans="1:12" s="77" customFormat="1">
      <c r="A79" s="73" t="s">
        <v>58</v>
      </c>
      <c r="B79" s="78" t="s">
        <v>59</v>
      </c>
      <c r="C79" s="75">
        <v>180</v>
      </c>
      <c r="D79" s="54">
        <f>24.34*0.18+5</f>
        <v>9.3811999999999998</v>
      </c>
      <c r="E79" s="54">
        <f>35.83*0.18</f>
        <v>6.4493999999999998</v>
      </c>
      <c r="F79" s="54">
        <f>244.56*0.18</f>
        <v>44.020800000000001</v>
      </c>
      <c r="G79" s="54">
        <f>1396*0.18+50</f>
        <v>301.27999999999997</v>
      </c>
      <c r="H79" s="55">
        <f>0.17*0.18</f>
        <v>3.0600000000000002E-2</v>
      </c>
      <c r="I79" s="55">
        <f>0.13*0.18+0.04</f>
        <v>6.3399999999999998E-2</v>
      </c>
      <c r="J79" s="55"/>
      <c r="K79" s="55">
        <f>91*0.18</f>
        <v>16.38</v>
      </c>
      <c r="L79" s="55">
        <f>406.3*0.18+40</f>
        <v>113.134</v>
      </c>
    </row>
    <row r="80" spans="1:12" s="77" customFormat="1">
      <c r="A80" s="73" t="s">
        <v>27</v>
      </c>
      <c r="B80" s="47" t="s">
        <v>28</v>
      </c>
      <c r="C80" s="48">
        <v>200</v>
      </c>
      <c r="D80" s="49">
        <f>0.8*0.2</f>
        <v>0.16000000000000003</v>
      </c>
      <c r="E80" s="49">
        <f>0.8*0.2</f>
        <v>0.16000000000000003</v>
      </c>
      <c r="F80" s="49">
        <f>139*0.2</f>
        <v>27.8</v>
      </c>
      <c r="G80" s="49">
        <f>573*0.2</f>
        <v>114.60000000000001</v>
      </c>
      <c r="H80" s="50">
        <f>0.06*0.2</f>
        <v>1.2E-2</v>
      </c>
      <c r="I80" s="50">
        <f>0.04*0.2</f>
        <v>8.0000000000000002E-3</v>
      </c>
      <c r="J80" s="50">
        <f>4.5*0.2</f>
        <v>0.9</v>
      </c>
      <c r="K80" s="50">
        <f>91+20</f>
        <v>111</v>
      </c>
      <c r="L80" s="50">
        <v>30</v>
      </c>
    </row>
    <row r="81" spans="1:12" s="77" customFormat="1">
      <c r="A81" s="48" t="s">
        <v>16</v>
      </c>
      <c r="B81" s="47" t="s">
        <v>17</v>
      </c>
      <c r="C81" s="48">
        <v>100</v>
      </c>
      <c r="D81" s="49">
        <v>0.4</v>
      </c>
      <c r="E81" s="49">
        <v>0.2</v>
      </c>
      <c r="F81" s="49">
        <v>9.8000000000000007</v>
      </c>
      <c r="G81" s="49">
        <v>47</v>
      </c>
      <c r="H81" s="50">
        <v>0.04</v>
      </c>
      <c r="I81" s="50">
        <v>0.05</v>
      </c>
      <c r="J81" s="50">
        <f>10-3</f>
        <v>7</v>
      </c>
      <c r="K81" s="50">
        <f>16+10</f>
        <v>26</v>
      </c>
      <c r="L81" s="50">
        <v>11</v>
      </c>
    </row>
    <row r="82" spans="1:12" s="77" customFormat="1">
      <c r="A82" s="73"/>
      <c r="B82" s="78" t="s">
        <v>20</v>
      </c>
      <c r="C82" s="75">
        <v>40</v>
      </c>
      <c r="D82" s="49">
        <v>1.32</v>
      </c>
      <c r="E82" s="49">
        <v>0.24</v>
      </c>
      <c r="F82" s="49">
        <v>7.9279999999999999</v>
      </c>
      <c r="G82" s="49">
        <v>39.6</v>
      </c>
      <c r="H82" s="50">
        <v>3.4000000000000002E-2</v>
      </c>
      <c r="I82" s="50"/>
      <c r="J82" s="50">
        <v>0</v>
      </c>
      <c r="K82" s="50">
        <v>5.8</v>
      </c>
      <c r="L82" s="50">
        <v>30</v>
      </c>
    </row>
    <row r="83" spans="1:12" s="43" customFormat="1">
      <c r="A83" s="64"/>
      <c r="B83" s="65" t="s">
        <v>29</v>
      </c>
      <c r="C83" s="66">
        <f t="shared" ref="C83:J83" si="6">SUM(C76:C82)</f>
        <v>970</v>
      </c>
      <c r="D83" s="67">
        <f t="shared" si="6"/>
        <v>29.508144444444444</v>
      </c>
      <c r="E83" s="67">
        <f t="shared" si="6"/>
        <v>29.324955555555555</v>
      </c>
      <c r="F83" s="67">
        <f t="shared" si="6"/>
        <v>115.73685555555555</v>
      </c>
      <c r="G83" s="67">
        <f t="shared" si="6"/>
        <v>835.78555555555556</v>
      </c>
      <c r="H83" s="68">
        <f t="shared" si="6"/>
        <v>0.42659999999999998</v>
      </c>
      <c r="I83" s="68">
        <f t="shared" si="6"/>
        <v>0.48467777777777776</v>
      </c>
      <c r="J83" s="68">
        <f t="shared" si="6"/>
        <v>23.627333333333333</v>
      </c>
      <c r="K83" s="68">
        <f>SUM(K76:K82)</f>
        <v>363.73555555555555</v>
      </c>
      <c r="L83" s="68">
        <f>SUM(L76:L82)</f>
        <v>565.79233333333332</v>
      </c>
    </row>
    <row r="84" spans="1:12" s="43" customFormat="1">
      <c r="A84" s="157" t="s">
        <v>60</v>
      </c>
      <c r="B84" s="157"/>
      <c r="C84" s="157"/>
      <c r="D84" s="157"/>
      <c r="E84" s="157"/>
      <c r="F84" s="157"/>
      <c r="G84" s="157"/>
      <c r="H84" s="40"/>
      <c r="I84" s="41"/>
      <c r="J84" s="41"/>
      <c r="K84" s="41"/>
      <c r="L84" s="42"/>
    </row>
    <row r="85" spans="1:12" s="43" customFormat="1">
      <c r="A85" s="158" t="s">
        <v>21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2"/>
    </row>
    <row r="86" spans="1:12" s="43" customFormat="1" ht="31.5">
      <c r="A86" s="121" t="s">
        <v>61</v>
      </c>
      <c r="B86" s="74" t="s">
        <v>62</v>
      </c>
      <c r="C86" s="75">
        <v>250</v>
      </c>
      <c r="D86" s="54">
        <f>5.93*0.25</f>
        <v>1.4824999999999999</v>
      </c>
      <c r="E86" s="54">
        <f>19.67*0.25</f>
        <v>4.9175000000000004</v>
      </c>
      <c r="F86" s="54">
        <f>24.36*0.25</f>
        <v>6.09</v>
      </c>
      <c r="G86" s="54">
        <f>305*0.25</f>
        <v>76.25</v>
      </c>
      <c r="H86" s="55">
        <f>0.17*0.85+0.1</f>
        <v>0.24450000000000002</v>
      </c>
      <c r="I86" s="55">
        <f>0.13*0.85+0.05</f>
        <v>0.1605</v>
      </c>
      <c r="J86" s="55">
        <f>39.5*0.25+1</f>
        <v>10.875</v>
      </c>
      <c r="K86" s="55">
        <f>43.5+60</f>
        <v>103.5</v>
      </c>
      <c r="L86" s="55">
        <f>134.3+30</f>
        <v>164.3</v>
      </c>
    </row>
    <row r="87" spans="1:12" s="43" customFormat="1">
      <c r="A87" s="121" t="s">
        <v>41</v>
      </c>
      <c r="B87" s="78" t="s">
        <v>42</v>
      </c>
      <c r="C87" s="75">
        <v>200</v>
      </c>
      <c r="D87" s="54">
        <f>16.49/150*250</f>
        <v>27.483333333333331</v>
      </c>
      <c r="E87" s="54">
        <f>(16.89+3.2)/150*200</f>
        <v>26.786666666666665</v>
      </c>
      <c r="F87" s="54">
        <f>26.02/150*250+40</f>
        <v>83.366666666666674</v>
      </c>
      <c r="G87" s="54">
        <f>(322+43.2)/150*250</f>
        <v>608.66666666666674</v>
      </c>
      <c r="H87" s="55">
        <f>(0.03+0.02)/150*250+0.05</f>
        <v>0.13333333333333336</v>
      </c>
      <c r="I87" s="55">
        <f>(0.14+0.05)/150*250</f>
        <v>0.31666666666666665</v>
      </c>
      <c r="J87" s="55">
        <f>0.32/150*230</f>
        <v>0.4906666666666667</v>
      </c>
      <c r="K87" s="55">
        <f>(14.23+50)/150*250+120</f>
        <v>227.05</v>
      </c>
      <c r="L87" s="55">
        <f>250.43/150*200</f>
        <v>333.90666666666664</v>
      </c>
    </row>
    <row r="88" spans="1:12" s="43" customFormat="1">
      <c r="A88" s="88" t="s">
        <v>18</v>
      </c>
      <c r="B88" s="89" t="s">
        <v>19</v>
      </c>
      <c r="C88" s="58">
        <v>222</v>
      </c>
      <c r="D88" s="63">
        <v>0.13</v>
      </c>
      <c r="E88" s="63">
        <v>0.02</v>
      </c>
      <c r="F88" s="63">
        <v>15.2</v>
      </c>
      <c r="G88" s="63">
        <v>62</v>
      </c>
      <c r="H88" s="63"/>
      <c r="I88" s="63"/>
      <c r="J88" s="63">
        <v>2.83</v>
      </c>
      <c r="K88" s="63">
        <v>14.2</v>
      </c>
      <c r="L88" s="63">
        <v>4.4000000000000004</v>
      </c>
    </row>
    <row r="89" spans="1:12" s="43" customFormat="1">
      <c r="A89" s="48" t="s">
        <v>16</v>
      </c>
      <c r="B89" s="90" t="s">
        <v>17</v>
      </c>
      <c r="C89" s="48">
        <v>100</v>
      </c>
      <c r="D89" s="49">
        <v>0.4</v>
      </c>
      <c r="E89" s="49">
        <v>0.2</v>
      </c>
      <c r="F89" s="49">
        <v>9.8000000000000007</v>
      </c>
      <c r="G89" s="49">
        <v>47</v>
      </c>
      <c r="H89" s="50">
        <v>0.04</v>
      </c>
      <c r="I89" s="50">
        <v>0.05</v>
      </c>
      <c r="J89" s="50">
        <f>10-3</f>
        <v>7</v>
      </c>
      <c r="K89" s="50">
        <f>16</f>
        <v>16</v>
      </c>
      <c r="L89" s="50">
        <v>11</v>
      </c>
    </row>
    <row r="90" spans="1:12" s="43" customFormat="1">
      <c r="A90" s="121"/>
      <c r="B90" s="78" t="s">
        <v>20</v>
      </c>
      <c r="C90" s="75">
        <v>40</v>
      </c>
      <c r="D90" s="49">
        <v>1.32</v>
      </c>
      <c r="E90" s="49">
        <v>0.24</v>
      </c>
      <c r="F90" s="49">
        <v>7.9279999999999999</v>
      </c>
      <c r="G90" s="49">
        <v>39.6</v>
      </c>
      <c r="H90" s="50">
        <v>3.4000000000000002E-2</v>
      </c>
      <c r="I90" s="50"/>
      <c r="J90" s="50">
        <v>0</v>
      </c>
      <c r="K90" s="50">
        <v>5.8</v>
      </c>
      <c r="L90" s="50">
        <v>30</v>
      </c>
    </row>
    <row r="91" spans="1:12" s="43" customFormat="1">
      <c r="A91" s="91"/>
      <c r="B91" s="92" t="s">
        <v>29</v>
      </c>
      <c r="C91" s="66">
        <f t="shared" ref="C91:L91" si="7">SUM(C86:C90)</f>
        <v>812</v>
      </c>
      <c r="D91" s="67">
        <f t="shared" si="7"/>
        <v>30.815833333333327</v>
      </c>
      <c r="E91" s="67">
        <f t="shared" si="7"/>
        <v>32.164166666666667</v>
      </c>
      <c r="F91" s="67">
        <f t="shared" si="7"/>
        <v>122.38466666666667</v>
      </c>
      <c r="G91" s="67">
        <f t="shared" si="7"/>
        <v>833.51666666666677</v>
      </c>
      <c r="H91" s="68">
        <f t="shared" si="7"/>
        <v>0.45183333333333331</v>
      </c>
      <c r="I91" s="68">
        <f t="shared" si="7"/>
        <v>0.52716666666666667</v>
      </c>
      <c r="J91" s="68">
        <f t="shared" si="7"/>
        <v>21.195666666666668</v>
      </c>
      <c r="K91" s="68">
        <f t="shared" si="7"/>
        <v>366.55</v>
      </c>
      <c r="L91" s="68">
        <f t="shared" si="7"/>
        <v>543.60666666666657</v>
      </c>
    </row>
    <row r="92" spans="1:12" s="43" customFormat="1">
      <c r="A92" s="157" t="s">
        <v>63</v>
      </c>
      <c r="B92" s="157"/>
      <c r="C92" s="157"/>
      <c r="D92" s="157"/>
      <c r="E92" s="157"/>
      <c r="F92" s="157"/>
      <c r="G92" s="157"/>
      <c r="H92" s="40"/>
      <c r="I92" s="41"/>
      <c r="J92" s="41"/>
      <c r="K92" s="41"/>
      <c r="L92" s="42"/>
    </row>
    <row r="93" spans="1:12" s="43" customFormat="1">
      <c r="A93" s="159" t="s">
        <v>21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50"/>
    </row>
    <row r="94" spans="1:12" s="77" customFormat="1">
      <c r="A94" s="46"/>
      <c r="B94" s="47" t="s">
        <v>22</v>
      </c>
      <c r="C94" s="48">
        <v>100</v>
      </c>
      <c r="D94" s="49">
        <f>0.66*100/60</f>
        <v>1.1000000000000001</v>
      </c>
      <c r="E94" s="49">
        <f>0.12*100/60</f>
        <v>0.2</v>
      </c>
      <c r="F94" s="49">
        <f>2.28*100/60</f>
        <v>3.7999999999999994</v>
      </c>
      <c r="G94" s="49">
        <f>14.4*100/60</f>
        <v>24</v>
      </c>
      <c r="H94" s="50">
        <f>0.036*100/60</f>
        <v>5.9999999999999991E-2</v>
      </c>
      <c r="I94" s="50">
        <f>0.1*100/60</f>
        <v>0.16666666666666666</v>
      </c>
      <c r="J94" s="50">
        <f>11*100/60-4</f>
        <v>14.333333333333332</v>
      </c>
      <c r="K94" s="50">
        <f>12.2*100/60</f>
        <v>20.333333333333332</v>
      </c>
      <c r="L94" s="50">
        <f>15.6*90/60</f>
        <v>23.4</v>
      </c>
    </row>
    <row r="95" spans="1:12" s="77" customFormat="1">
      <c r="A95" s="73" t="s">
        <v>75</v>
      </c>
      <c r="B95" s="78" t="s">
        <v>115</v>
      </c>
      <c r="C95" s="75">
        <v>250</v>
      </c>
      <c r="D95" s="55">
        <f>10.26*0.25+5</f>
        <v>7.5649999999999995</v>
      </c>
      <c r="E95" s="55">
        <f>22.17*0.25+1</f>
        <v>6.5425000000000004</v>
      </c>
      <c r="F95" s="55">
        <f>46.48*0.25+4</f>
        <v>15.62</v>
      </c>
      <c r="G95" s="55">
        <f>463*0.25</f>
        <v>115.75</v>
      </c>
      <c r="H95" s="55">
        <f>0.2*0.25</f>
        <v>0.05</v>
      </c>
      <c r="I95" s="55">
        <f>0.14*0.25+0.08</f>
        <v>0.115</v>
      </c>
      <c r="J95" s="55">
        <f>2*0.25+5</f>
        <v>5.5</v>
      </c>
      <c r="K95" s="55">
        <f>114*0.25+40</f>
        <v>68.5</v>
      </c>
      <c r="L95" s="55">
        <f>154*0.25+130</f>
        <v>168.5</v>
      </c>
    </row>
    <row r="96" spans="1:12" s="77" customFormat="1">
      <c r="A96" s="73" t="s">
        <v>54</v>
      </c>
      <c r="B96" s="74" t="s">
        <v>116</v>
      </c>
      <c r="C96" s="75">
        <v>100</v>
      </c>
      <c r="D96" s="55">
        <v>11.78</v>
      </c>
      <c r="E96" s="55">
        <f>14.7+3</f>
        <v>17.7</v>
      </c>
      <c r="F96" s="55">
        <v>0.17</v>
      </c>
      <c r="G96" s="55">
        <f>194</f>
        <v>194</v>
      </c>
      <c r="H96" s="55">
        <f>0.05+0.02</f>
        <v>7.0000000000000007E-2</v>
      </c>
      <c r="I96" s="55">
        <f>0.08</f>
        <v>0.08</v>
      </c>
      <c r="J96" s="55">
        <f>0.52/55*90</f>
        <v>0.85090909090909095</v>
      </c>
      <c r="K96" s="55">
        <f>27.77</f>
        <v>27.77</v>
      </c>
      <c r="L96" s="55">
        <f>48.77/50*90+50</f>
        <v>137.786</v>
      </c>
    </row>
    <row r="97" spans="1:12" s="43" customFormat="1">
      <c r="A97" s="46" t="s">
        <v>25</v>
      </c>
      <c r="B97" s="47" t="s">
        <v>26</v>
      </c>
      <c r="C97" s="48">
        <v>180</v>
      </c>
      <c r="D97" s="49">
        <f>52.73*0.18</f>
        <v>9.4913999999999987</v>
      </c>
      <c r="E97" s="49">
        <f>40.62*0.18</f>
        <v>7.3115999999999994</v>
      </c>
      <c r="F97" s="49">
        <f>257.61*0.18+15</f>
        <v>61.369799999999998</v>
      </c>
      <c r="G97" s="49">
        <f>1652*0.25-10</f>
        <v>403</v>
      </c>
      <c r="H97" s="50">
        <f>1.39*0.18-0.04</f>
        <v>0.21019999999999997</v>
      </c>
      <c r="I97" s="50">
        <f>0.75*0.18</f>
        <v>0.13500000000000001</v>
      </c>
      <c r="J97" s="50"/>
      <c r="K97" s="50">
        <f>98.8*1.9</f>
        <v>187.72</v>
      </c>
      <c r="L97" s="50">
        <f>1625*0.18-30</f>
        <v>262.5</v>
      </c>
    </row>
    <row r="98" spans="1:12" s="77" customFormat="1">
      <c r="A98" s="73" t="s">
        <v>27</v>
      </c>
      <c r="B98" s="81" t="s">
        <v>28</v>
      </c>
      <c r="C98" s="80">
        <v>200</v>
      </c>
      <c r="D98" s="50">
        <f>0.8*0.2</f>
        <v>0.16000000000000003</v>
      </c>
      <c r="E98" s="50">
        <f>0.8*0.2</f>
        <v>0.16000000000000003</v>
      </c>
      <c r="F98" s="50">
        <f>139*0.2</f>
        <v>27.8</v>
      </c>
      <c r="G98" s="50">
        <f>573*0.2</f>
        <v>114.60000000000001</v>
      </c>
      <c r="H98" s="50">
        <f>0.06*0.2</f>
        <v>1.2E-2</v>
      </c>
      <c r="I98" s="50">
        <f>0.04*0.2</f>
        <v>8.0000000000000002E-3</v>
      </c>
      <c r="J98" s="50">
        <f>4.5*0.2</f>
        <v>0.9</v>
      </c>
      <c r="K98" s="50">
        <v>91</v>
      </c>
      <c r="L98" s="50">
        <f>22*0.2</f>
        <v>4.4000000000000004</v>
      </c>
    </row>
    <row r="99" spans="1:12" s="77" customFormat="1">
      <c r="A99" s="73"/>
      <c r="B99" s="78" t="s">
        <v>20</v>
      </c>
      <c r="C99" s="75">
        <v>40</v>
      </c>
      <c r="D99" s="50">
        <v>1.32</v>
      </c>
      <c r="E99" s="50">
        <v>0.24</v>
      </c>
      <c r="F99" s="50">
        <v>7.9279999999999999</v>
      </c>
      <c r="G99" s="50">
        <v>39.6</v>
      </c>
      <c r="H99" s="50">
        <v>3.4000000000000002E-2</v>
      </c>
      <c r="I99" s="50"/>
      <c r="J99" s="50">
        <v>0</v>
      </c>
      <c r="K99" s="50">
        <v>5.8</v>
      </c>
      <c r="L99" s="50">
        <v>30</v>
      </c>
    </row>
    <row r="100" spans="1:12" s="43" customFormat="1">
      <c r="A100" s="64"/>
      <c r="B100" s="65" t="s">
        <v>29</v>
      </c>
      <c r="C100" s="66">
        <f t="shared" ref="C100:J100" si="8">SUM(C94:C99)</f>
        <v>870</v>
      </c>
      <c r="D100" s="67">
        <f t="shared" si="8"/>
        <v>31.416399999999999</v>
      </c>
      <c r="E100" s="67">
        <f t="shared" si="8"/>
        <v>32.1541</v>
      </c>
      <c r="F100" s="67">
        <f t="shared" si="8"/>
        <v>116.6878</v>
      </c>
      <c r="G100" s="67">
        <f t="shared" si="8"/>
        <v>890.95</v>
      </c>
      <c r="H100" s="68">
        <f t="shared" si="8"/>
        <v>0.43620000000000003</v>
      </c>
      <c r="I100" s="68">
        <f t="shared" si="8"/>
        <v>0.50466666666666671</v>
      </c>
      <c r="J100" s="68">
        <f t="shared" si="8"/>
        <v>21.584242424242422</v>
      </c>
      <c r="K100" s="68">
        <f>SUM(K94:K99)</f>
        <v>401.12333333333333</v>
      </c>
      <c r="L100" s="68">
        <f>SUM(L94:L99)</f>
        <v>626.58600000000001</v>
      </c>
    </row>
    <row r="101" spans="1:12" s="43" customFormat="1">
      <c r="A101" s="148" t="s">
        <v>67</v>
      </c>
      <c r="B101" s="148"/>
      <c r="C101" s="148"/>
      <c r="D101" s="148"/>
      <c r="E101" s="148"/>
      <c r="F101" s="148"/>
      <c r="G101" s="148"/>
      <c r="H101" s="44"/>
      <c r="I101" s="44"/>
      <c r="J101" s="44"/>
      <c r="K101" s="44"/>
      <c r="L101" s="45"/>
    </row>
    <row r="102" spans="1:12" s="43" customFormat="1">
      <c r="A102" s="149" t="s">
        <v>21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50"/>
    </row>
    <row r="103" spans="1:12" s="43" customFormat="1">
      <c r="A103" s="46"/>
      <c r="B103" s="47" t="s">
        <v>22</v>
      </c>
      <c r="C103" s="48">
        <v>100</v>
      </c>
      <c r="D103" s="49">
        <f>0.66*100/60</f>
        <v>1.1000000000000001</v>
      </c>
      <c r="E103" s="49">
        <f>0.12*100/60</f>
        <v>0.2</v>
      </c>
      <c r="F103" s="49">
        <f>2.28*100/60</f>
        <v>3.7999999999999994</v>
      </c>
      <c r="G103" s="49">
        <f>14.4*100/60</f>
        <v>24</v>
      </c>
      <c r="H103" s="50">
        <f>0.036*100/60</f>
        <v>5.9999999999999991E-2</v>
      </c>
      <c r="I103" s="50">
        <f>0.1*100/60</f>
        <v>0.16666666666666666</v>
      </c>
      <c r="J103" s="50">
        <f>11*100/60-4</f>
        <v>14.333333333333332</v>
      </c>
      <c r="K103" s="50">
        <f>12.2*100/60</f>
        <v>20.333333333333332</v>
      </c>
      <c r="L103" s="50">
        <f>15.6*90/60</f>
        <v>23.4</v>
      </c>
    </row>
    <row r="104" spans="1:12" s="77" customFormat="1">
      <c r="A104" s="73" t="s">
        <v>68</v>
      </c>
      <c r="B104" s="74" t="s">
        <v>69</v>
      </c>
      <c r="C104" s="75">
        <v>250</v>
      </c>
      <c r="D104" s="76">
        <f>8.07*0.25</f>
        <v>2.0175000000000001</v>
      </c>
      <c r="E104" s="76">
        <f>20.36*0.5</f>
        <v>10.18</v>
      </c>
      <c r="F104" s="76">
        <f>47.92*0.25</f>
        <v>11.98</v>
      </c>
      <c r="G104" s="76">
        <f>429*0.5</f>
        <v>214.5</v>
      </c>
      <c r="H104" s="76">
        <f>0.37*0.25</f>
        <v>9.2499999999999999E-2</v>
      </c>
      <c r="I104" s="76">
        <f>0.23*0.5</f>
        <v>0.115</v>
      </c>
      <c r="J104" s="76">
        <f>33.5*0.21</f>
        <v>7.0350000000000001</v>
      </c>
      <c r="K104" s="76">
        <f>(116.6+4)/200*250+80</f>
        <v>230.75</v>
      </c>
      <c r="L104" s="76">
        <f>(226.9+5)/200*230</f>
        <v>266.685</v>
      </c>
    </row>
    <row r="105" spans="1:12" s="43" customFormat="1">
      <c r="A105" s="73" t="s">
        <v>70</v>
      </c>
      <c r="B105" s="78" t="s">
        <v>71</v>
      </c>
      <c r="C105" s="75">
        <v>200</v>
      </c>
      <c r="D105" s="55">
        <f>12.3+4+7</f>
        <v>23.3</v>
      </c>
      <c r="E105" s="55">
        <f>29.5-10</f>
        <v>19.5</v>
      </c>
      <c r="F105" s="55">
        <f>16.58+60</f>
        <v>76.58</v>
      </c>
      <c r="G105" s="55">
        <f>383+100</f>
        <v>483</v>
      </c>
      <c r="H105" s="55">
        <f>0.37-0.16+0.04</f>
        <v>0.25</v>
      </c>
      <c r="I105" s="55">
        <f>0.25</f>
        <v>0.25</v>
      </c>
      <c r="J105" s="55"/>
      <c r="K105" s="55">
        <f>28.69+70</f>
        <v>98.69</v>
      </c>
      <c r="L105" s="55">
        <f>180.22+40</f>
        <v>220.22</v>
      </c>
    </row>
    <row r="106" spans="1:12" s="43" customFormat="1">
      <c r="A106" s="88" t="s">
        <v>18</v>
      </c>
      <c r="B106" s="57" t="s">
        <v>19</v>
      </c>
      <c r="C106" s="58">
        <v>222</v>
      </c>
      <c r="D106" s="63">
        <v>0.13</v>
      </c>
      <c r="E106" s="63">
        <v>0.02</v>
      </c>
      <c r="F106" s="63">
        <v>15.2</v>
      </c>
      <c r="G106" s="63">
        <v>62</v>
      </c>
      <c r="H106" s="63"/>
      <c r="I106" s="63"/>
      <c r="J106" s="63">
        <v>2.83</v>
      </c>
      <c r="K106" s="63">
        <v>14.2</v>
      </c>
      <c r="L106" s="63">
        <v>4.4000000000000004</v>
      </c>
    </row>
    <row r="107" spans="1:12" s="43" customFormat="1">
      <c r="A107" s="73"/>
      <c r="B107" s="78" t="s">
        <v>20</v>
      </c>
      <c r="C107" s="75">
        <v>40</v>
      </c>
      <c r="D107" s="50">
        <v>1.32</v>
      </c>
      <c r="E107" s="50">
        <v>0.24</v>
      </c>
      <c r="F107" s="50">
        <v>7.9279999999999999</v>
      </c>
      <c r="G107" s="50">
        <v>39.6</v>
      </c>
      <c r="H107" s="50">
        <v>3.4000000000000002E-2</v>
      </c>
      <c r="I107" s="50"/>
      <c r="J107" s="50">
        <v>0</v>
      </c>
      <c r="K107" s="50">
        <v>5.8</v>
      </c>
      <c r="L107" s="50">
        <v>30</v>
      </c>
    </row>
    <row r="108" spans="1:12" s="43" customFormat="1">
      <c r="A108" s="91"/>
      <c r="B108" s="92" t="s">
        <v>29</v>
      </c>
      <c r="C108" s="66">
        <f t="shared" ref="C108:L108" si="9">SUM(C103:C107)</f>
        <v>812</v>
      </c>
      <c r="D108" s="67">
        <f>SUM(D103:D107)</f>
        <v>27.8675</v>
      </c>
      <c r="E108" s="67">
        <f t="shared" si="9"/>
        <v>30.139999999999997</v>
      </c>
      <c r="F108" s="67">
        <f t="shared" si="9"/>
        <v>115.488</v>
      </c>
      <c r="G108" s="67">
        <f>SUM(G103:G107)</f>
        <v>823.1</v>
      </c>
      <c r="H108" s="68">
        <f t="shared" si="9"/>
        <v>0.4365</v>
      </c>
      <c r="I108" s="68">
        <f t="shared" si="9"/>
        <v>0.53166666666666673</v>
      </c>
      <c r="J108" s="68">
        <f t="shared" si="9"/>
        <v>24.198333333333331</v>
      </c>
      <c r="K108" s="68">
        <f t="shared" si="9"/>
        <v>369.77333333333331</v>
      </c>
      <c r="L108" s="68">
        <f t="shared" si="9"/>
        <v>544.70499999999993</v>
      </c>
    </row>
    <row r="109" spans="1:12" s="43" customFormat="1">
      <c r="A109" s="148" t="s">
        <v>72</v>
      </c>
      <c r="B109" s="148"/>
      <c r="C109" s="148"/>
      <c r="D109" s="148"/>
      <c r="E109" s="148"/>
      <c r="F109" s="148"/>
      <c r="G109" s="148"/>
      <c r="H109" s="44"/>
      <c r="I109" s="44"/>
      <c r="J109" s="44"/>
      <c r="K109" s="44"/>
      <c r="L109" s="45"/>
    </row>
    <row r="110" spans="1:12" s="43" customFormat="1">
      <c r="A110" s="151" t="s">
        <v>21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2"/>
    </row>
    <row r="111" spans="1:12" s="43" customFormat="1">
      <c r="A111" s="46"/>
      <c r="B111" s="47" t="s">
        <v>22</v>
      </c>
      <c r="C111" s="48">
        <v>100</v>
      </c>
      <c r="D111" s="49">
        <f>0.66*100/60</f>
        <v>1.1000000000000001</v>
      </c>
      <c r="E111" s="49">
        <f>0.12*100/60</f>
        <v>0.2</v>
      </c>
      <c r="F111" s="49">
        <f>2.28*100/60</f>
        <v>3.7999999999999994</v>
      </c>
      <c r="G111" s="49">
        <f>14.4*100/60</f>
        <v>24</v>
      </c>
      <c r="H111" s="50">
        <f>0.036*100/60</f>
        <v>5.9999999999999991E-2</v>
      </c>
      <c r="I111" s="50">
        <f>0.1*100/60</f>
        <v>0.16666666666666666</v>
      </c>
      <c r="J111" s="50">
        <f>11*100/60-4</f>
        <v>14.333333333333332</v>
      </c>
      <c r="K111" s="50">
        <f>12.2*100/60+50</f>
        <v>70.333333333333329</v>
      </c>
      <c r="L111" s="50">
        <f>15.6*90/60</f>
        <v>23.4</v>
      </c>
    </row>
    <row r="112" spans="1:12" s="43" customFormat="1" ht="31.5">
      <c r="A112" s="73" t="s">
        <v>52</v>
      </c>
      <c r="B112" s="74" t="s">
        <v>53</v>
      </c>
      <c r="C112" s="75">
        <v>250</v>
      </c>
      <c r="D112" s="55">
        <f>21.96*0.25</f>
        <v>5.49</v>
      </c>
      <c r="E112" s="55">
        <f>21.08*0.25</f>
        <v>5.27</v>
      </c>
      <c r="F112" s="55">
        <f>66.14*0.25+10</f>
        <v>26.535</v>
      </c>
      <c r="G112" s="55">
        <f>593*0.25+40</f>
        <v>188.25</v>
      </c>
      <c r="H112" s="55">
        <f>0.91*0.25-0.09</f>
        <v>0.13750000000000001</v>
      </c>
      <c r="I112" s="55">
        <f>0.29*0.25+0.04</f>
        <v>0.11249999999999999</v>
      </c>
      <c r="J112" s="55">
        <f>23.3*0.25+1</f>
        <v>6.8250000000000002</v>
      </c>
      <c r="K112" s="55">
        <f>170.7*0.25+80</f>
        <v>122.675</v>
      </c>
      <c r="L112" s="55">
        <f>352.4*0.25+35</f>
        <v>123.1</v>
      </c>
    </row>
    <row r="113" spans="1:12" s="77" customFormat="1">
      <c r="A113" s="73" t="s">
        <v>64</v>
      </c>
      <c r="B113" s="93" t="s">
        <v>117</v>
      </c>
      <c r="C113" s="75">
        <v>150</v>
      </c>
      <c r="D113" s="50">
        <f>6.59/80*150+2</f>
        <v>14.356250000000001</v>
      </c>
      <c r="E113" s="50">
        <f>5.38/80*150+3</f>
        <v>13.0875</v>
      </c>
      <c r="F113" s="50">
        <f>9.03/80*150</f>
        <v>16.931249999999999</v>
      </c>
      <c r="G113" s="50">
        <f>111/80*150+20</f>
        <v>228.125</v>
      </c>
      <c r="H113" s="50">
        <f>0.04</f>
        <v>0.04</v>
      </c>
      <c r="I113" s="50">
        <f>0.07/80*150+0.02</f>
        <v>0.15125</v>
      </c>
      <c r="J113" s="50">
        <f>0.17</f>
        <v>0.17</v>
      </c>
      <c r="K113" s="50">
        <f>29.93/80*150+70</f>
        <v>126.11875000000001</v>
      </c>
      <c r="L113" s="50">
        <f>88.67/80*150+130</f>
        <v>296.25625000000002</v>
      </c>
    </row>
    <row r="114" spans="1:12" s="43" customFormat="1">
      <c r="A114" s="73" t="s">
        <v>65</v>
      </c>
      <c r="B114" s="78" t="s">
        <v>66</v>
      </c>
      <c r="C114" s="75">
        <v>180</v>
      </c>
      <c r="D114" s="94">
        <f>19.06*0.18</f>
        <v>3.4307999999999996</v>
      </c>
      <c r="E114" s="94">
        <f>28.79*0.18+5</f>
        <v>10.1822</v>
      </c>
      <c r="F114" s="94">
        <f>153.42*0.18+6</f>
        <v>33.615600000000001</v>
      </c>
      <c r="G114" s="94">
        <f>949*0.18</f>
        <v>170.82</v>
      </c>
      <c r="H114" s="94">
        <f>0.63*0.18</f>
        <v>0.1134</v>
      </c>
      <c r="I114" s="94">
        <f>0.17*0.18+0.03</f>
        <v>6.0600000000000001E-2</v>
      </c>
      <c r="J114" s="94"/>
      <c r="K114" s="94">
        <f>32.4*0.5</f>
        <v>16.2</v>
      </c>
      <c r="L114" s="94">
        <f>247.8*0.15+20</f>
        <v>57.17</v>
      </c>
    </row>
    <row r="115" spans="1:12" s="43" customFormat="1">
      <c r="A115" s="56" t="s">
        <v>31</v>
      </c>
      <c r="B115" s="57" t="s">
        <v>32</v>
      </c>
      <c r="C115" s="58">
        <v>215</v>
      </c>
      <c r="D115" s="59">
        <v>7.0000000000000007E-2</v>
      </c>
      <c r="E115" s="59">
        <v>0.02</v>
      </c>
      <c r="F115" s="59">
        <v>15</v>
      </c>
      <c r="G115" s="59">
        <v>60</v>
      </c>
      <c r="H115" s="59"/>
      <c r="I115" s="59"/>
      <c r="J115" s="59">
        <f>0.03+0.01</f>
        <v>0.04</v>
      </c>
      <c r="K115" s="59">
        <v>11.1</v>
      </c>
      <c r="L115" s="59">
        <v>2.8</v>
      </c>
    </row>
    <row r="116" spans="1:12" s="43" customFormat="1">
      <c r="A116" s="73" t="s">
        <v>15</v>
      </c>
      <c r="B116" s="78" t="s">
        <v>73</v>
      </c>
      <c r="C116" s="75">
        <v>50</v>
      </c>
      <c r="D116" s="95">
        <v>2.91</v>
      </c>
      <c r="E116" s="95">
        <f>10.69-9</f>
        <v>1.6899999999999995</v>
      </c>
      <c r="F116" s="95">
        <f>21.05-5</f>
        <v>16.05</v>
      </c>
      <c r="G116" s="95">
        <f>192-80</f>
        <v>112</v>
      </c>
      <c r="H116" s="95">
        <v>0.04</v>
      </c>
      <c r="I116" s="95" t="s">
        <v>74</v>
      </c>
      <c r="J116" s="95">
        <v>0.03</v>
      </c>
      <c r="K116" s="95">
        <v>9.1999999999999993</v>
      </c>
      <c r="L116" s="95">
        <v>28.1</v>
      </c>
    </row>
    <row r="117" spans="1:12" s="43" customFormat="1">
      <c r="A117" s="73"/>
      <c r="B117" s="78" t="s">
        <v>20</v>
      </c>
      <c r="C117" s="75">
        <v>40</v>
      </c>
      <c r="D117" s="50">
        <v>1.32</v>
      </c>
      <c r="E117" s="50">
        <v>0.24</v>
      </c>
      <c r="F117" s="50">
        <v>7.9279999999999999</v>
      </c>
      <c r="G117" s="50">
        <v>39.6</v>
      </c>
      <c r="H117" s="50">
        <v>3.4000000000000002E-2</v>
      </c>
      <c r="I117" s="50"/>
      <c r="J117" s="50">
        <v>0</v>
      </c>
      <c r="K117" s="50">
        <v>5.8</v>
      </c>
      <c r="L117" s="50">
        <v>30</v>
      </c>
    </row>
    <row r="118" spans="1:12" s="43" customFormat="1">
      <c r="A118" s="64"/>
      <c r="B118" s="65" t="s">
        <v>29</v>
      </c>
      <c r="C118" s="66">
        <f t="shared" ref="C118:J118" si="10">SUM(C111:C117)</f>
        <v>985</v>
      </c>
      <c r="D118" s="67">
        <f>SUM(D111:D117)</f>
        <v>28.677049999999998</v>
      </c>
      <c r="E118" s="67">
        <f>SUM(E111:E117)</f>
        <v>30.689699999999998</v>
      </c>
      <c r="F118" s="67">
        <f t="shared" si="10"/>
        <v>119.85984999999999</v>
      </c>
      <c r="G118" s="67">
        <f t="shared" si="10"/>
        <v>822.79499999999996</v>
      </c>
      <c r="H118" s="68">
        <f t="shared" si="10"/>
        <v>0.42489999999999994</v>
      </c>
      <c r="I118" s="68">
        <f t="shared" si="10"/>
        <v>0.49101666666666666</v>
      </c>
      <c r="J118" s="68">
        <f t="shared" si="10"/>
        <v>21.398333333333333</v>
      </c>
      <c r="K118" s="68">
        <f>SUM(K111:K117)</f>
        <v>361.42708333333331</v>
      </c>
      <c r="L118" s="68">
        <f>SUM(L111:L117)</f>
        <v>560.82625000000007</v>
      </c>
    </row>
    <row r="119" spans="1:12" s="43" customFormat="1">
      <c r="A119" s="153" t="s">
        <v>55</v>
      </c>
      <c r="B119" s="154"/>
      <c r="C119" s="83">
        <f t="shared" ref="C119:L119" si="11">SUM(C83,C91,C118,C108,C100)/5</f>
        <v>889.8</v>
      </c>
      <c r="D119" s="84">
        <f t="shared" si="11"/>
        <v>29.656985555555554</v>
      </c>
      <c r="E119" s="84">
        <f t="shared" si="11"/>
        <v>30.894584444444444</v>
      </c>
      <c r="F119" s="84">
        <f t="shared" si="11"/>
        <v>118.03143444444444</v>
      </c>
      <c r="G119" s="84">
        <f t="shared" si="11"/>
        <v>841.22944444444443</v>
      </c>
      <c r="H119" s="84">
        <f t="shared" si="11"/>
        <v>0.43520666666666663</v>
      </c>
      <c r="I119" s="84">
        <f t="shared" si="11"/>
        <v>0.50783888888888895</v>
      </c>
      <c r="J119" s="84">
        <f t="shared" si="11"/>
        <v>22.400781818181819</v>
      </c>
      <c r="K119" s="84">
        <f t="shared" si="11"/>
        <v>372.52186111111115</v>
      </c>
      <c r="L119" s="84">
        <f t="shared" si="11"/>
        <v>568.30324999999993</v>
      </c>
    </row>
    <row r="120" spans="1:12">
      <c r="A120" s="122"/>
      <c r="B120" s="96"/>
      <c r="C120" s="97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1:12" ht="16.5" thickBot="1">
      <c r="A121" s="123"/>
      <c r="B121" s="99"/>
      <c r="C121" s="100"/>
      <c r="D121" s="101"/>
      <c r="E121" s="101"/>
      <c r="F121" s="101"/>
      <c r="G121" s="101"/>
      <c r="H121" s="101"/>
      <c r="I121" s="101"/>
      <c r="J121" s="101"/>
      <c r="K121" s="101"/>
      <c r="L121" s="102"/>
    </row>
    <row r="122" spans="1:12">
      <c r="A122" s="103"/>
      <c r="B122" s="155" t="s">
        <v>77</v>
      </c>
      <c r="C122" s="156"/>
      <c r="D122" s="104">
        <f t="shared" ref="D122:L122" si="12">D100+D108+D118+D91+D83+D72+D63+D54+D45+D36</f>
        <v>293.26896111111108</v>
      </c>
      <c r="E122" s="104">
        <f t="shared" si="12"/>
        <v>303.59769999999997</v>
      </c>
      <c r="F122" s="104">
        <f t="shared" si="12"/>
        <v>1207.4008777777776</v>
      </c>
      <c r="G122" s="104">
        <f t="shared" si="12"/>
        <v>8543.1622222222231</v>
      </c>
      <c r="H122" s="105">
        <f t="shared" si="12"/>
        <v>4.4108000000000001</v>
      </c>
      <c r="I122" s="105">
        <f t="shared" si="12"/>
        <v>5.1331222222222221</v>
      </c>
      <c r="J122" s="105">
        <f t="shared" si="12"/>
        <v>227.68114520202019</v>
      </c>
      <c r="K122" s="105">
        <f t="shared" si="12"/>
        <v>3823.4696388888892</v>
      </c>
      <c r="L122" s="105">
        <f t="shared" si="12"/>
        <v>5833.6718888888881</v>
      </c>
    </row>
    <row r="123" spans="1:12">
      <c r="A123" s="106"/>
      <c r="B123" s="134" t="s">
        <v>78</v>
      </c>
      <c r="C123" s="135"/>
      <c r="D123" s="107">
        <f>D122/10</f>
        <v>29.326896111111108</v>
      </c>
      <c r="E123" s="107">
        <f t="shared" ref="E123:L123" si="13">E122/10</f>
        <v>30.359769999999997</v>
      </c>
      <c r="F123" s="107">
        <f t="shared" si="13"/>
        <v>120.74008777777776</v>
      </c>
      <c r="G123" s="107">
        <f>G122/10</f>
        <v>854.31622222222234</v>
      </c>
      <c r="H123" s="108">
        <f t="shared" si="13"/>
        <v>0.44108000000000003</v>
      </c>
      <c r="I123" s="108">
        <f t="shared" si="13"/>
        <v>0.51331222222222217</v>
      </c>
      <c r="J123" s="108">
        <f t="shared" si="13"/>
        <v>22.768114520202019</v>
      </c>
      <c r="K123" s="108">
        <f t="shared" si="13"/>
        <v>382.34696388888892</v>
      </c>
      <c r="L123" s="108">
        <f t="shared" si="13"/>
        <v>583.36718888888879</v>
      </c>
    </row>
    <row r="124" spans="1:12" ht="16.5" thickBot="1">
      <c r="A124" s="136" t="s">
        <v>76</v>
      </c>
      <c r="B124" s="137"/>
      <c r="C124" s="138"/>
      <c r="D124" s="109">
        <f t="shared" ref="D124:L124" si="14">D123/D125</f>
        <v>0.32585440123456788</v>
      </c>
      <c r="E124" s="109">
        <f t="shared" si="14"/>
        <v>0.3299975</v>
      </c>
      <c r="F124" s="109">
        <f t="shared" si="14"/>
        <v>0.31524827096025526</v>
      </c>
      <c r="G124" s="109">
        <f t="shared" si="14"/>
        <v>0.3148972437236352</v>
      </c>
      <c r="H124" s="109">
        <f t="shared" si="14"/>
        <v>0.31505714285714292</v>
      </c>
      <c r="I124" s="109">
        <f t="shared" si="14"/>
        <v>0.32082013888888883</v>
      </c>
      <c r="J124" s="109">
        <f t="shared" si="14"/>
        <v>0.32525877886002885</v>
      </c>
      <c r="K124" s="109">
        <f t="shared" si="14"/>
        <v>0.31862246990740745</v>
      </c>
      <c r="L124" s="109">
        <f t="shared" si="14"/>
        <v>0.3240928827160493</v>
      </c>
    </row>
    <row r="125" spans="1:12" s="111" customFormat="1" ht="45.75" customHeight="1" thickBot="1">
      <c r="A125" s="139" t="s">
        <v>118</v>
      </c>
      <c r="B125" s="140"/>
      <c r="C125" s="141"/>
      <c r="D125" s="110">
        <v>90</v>
      </c>
      <c r="E125" s="110">
        <v>92</v>
      </c>
      <c r="F125" s="110">
        <v>383</v>
      </c>
      <c r="G125" s="110">
        <v>2713</v>
      </c>
      <c r="H125" s="110">
        <v>1.4</v>
      </c>
      <c r="I125" s="110">
        <v>1.6</v>
      </c>
      <c r="J125" s="110">
        <v>70</v>
      </c>
      <c r="K125" s="110">
        <v>1200</v>
      </c>
      <c r="L125" s="110">
        <v>1800</v>
      </c>
    </row>
    <row r="126" spans="1:12">
      <c r="A126" s="124"/>
      <c r="B126" s="142" t="s">
        <v>79</v>
      </c>
      <c r="C126" s="143"/>
      <c r="D126" s="112"/>
      <c r="E126" s="112"/>
      <c r="F126" s="113" t="s">
        <v>80</v>
      </c>
      <c r="G126" s="114"/>
      <c r="H126" s="114"/>
      <c r="I126" s="114"/>
      <c r="J126" s="114"/>
      <c r="K126" s="114"/>
      <c r="L126" s="115"/>
    </row>
    <row r="127" spans="1:12">
      <c r="A127" s="124"/>
      <c r="B127" s="144"/>
      <c r="C127" s="145"/>
      <c r="D127" s="116" t="s">
        <v>21</v>
      </c>
      <c r="E127" s="116">
        <f>G123/G125</f>
        <v>0.3148972437236352</v>
      </c>
      <c r="F127" s="116" t="s">
        <v>81</v>
      </c>
      <c r="G127" s="114"/>
      <c r="H127" s="114"/>
      <c r="I127" s="114"/>
      <c r="J127" s="114"/>
      <c r="K127" s="114"/>
      <c r="L127" s="115"/>
    </row>
    <row r="128" spans="1:12">
      <c r="A128" s="125"/>
      <c r="B128" s="146"/>
      <c r="C128" s="147"/>
      <c r="D128" s="117"/>
      <c r="E128" s="117"/>
      <c r="F128" s="117"/>
      <c r="G128" s="118"/>
      <c r="H128" s="118"/>
      <c r="I128" s="118"/>
      <c r="J128" s="118"/>
      <c r="K128" s="118"/>
      <c r="L128" s="112"/>
    </row>
  </sheetData>
  <mergeCells count="40">
    <mergeCell ref="A46:G46"/>
    <mergeCell ref="A26:G26"/>
    <mergeCell ref="A27:A28"/>
    <mergeCell ref="B27:B28"/>
    <mergeCell ref="C27:C28"/>
    <mergeCell ref="D27:F27"/>
    <mergeCell ref="G27:G28"/>
    <mergeCell ref="H27:J27"/>
    <mergeCell ref="K27:L27"/>
    <mergeCell ref="A29:L29"/>
    <mergeCell ref="A37:G37"/>
    <mergeCell ref="A38:L38"/>
    <mergeCell ref="A93:L93"/>
    <mergeCell ref="A47:L47"/>
    <mergeCell ref="A55:G55"/>
    <mergeCell ref="A56:L56"/>
    <mergeCell ref="A64:G64"/>
    <mergeCell ref="A65:L65"/>
    <mergeCell ref="A73:B73"/>
    <mergeCell ref="F10:K23"/>
    <mergeCell ref="B123:C123"/>
    <mergeCell ref="A124:C124"/>
    <mergeCell ref="A125:C125"/>
    <mergeCell ref="B126:C128"/>
    <mergeCell ref="A101:G101"/>
    <mergeCell ref="A102:L102"/>
    <mergeCell ref="A109:G109"/>
    <mergeCell ref="A110:L110"/>
    <mergeCell ref="A119:B119"/>
    <mergeCell ref="B122:C122"/>
    <mergeCell ref="A74:G74"/>
    <mergeCell ref="A75:L75"/>
    <mergeCell ref="A84:G84"/>
    <mergeCell ref="A85:L85"/>
    <mergeCell ref="A92:G92"/>
    <mergeCell ref="I3:K3"/>
    <mergeCell ref="A4:D4"/>
    <mergeCell ref="A1:B1"/>
    <mergeCell ref="A2:B2"/>
    <mergeCell ref="A3:B3"/>
  </mergeCells>
  <conditionalFormatting sqref="D36">
    <cfRule type="cellIs" dxfId="89" priority="100" operator="notBetween">
      <formula>27</formula>
      <formula>31.5</formula>
    </cfRule>
  </conditionalFormatting>
  <conditionalFormatting sqref="E36">
    <cfRule type="cellIs" dxfId="88" priority="99" operator="notBetween">
      <formula>27.6</formula>
      <formula>32.2</formula>
    </cfRule>
  </conditionalFormatting>
  <conditionalFormatting sqref="F36">
    <cfRule type="cellIs" dxfId="87" priority="98" operator="notBetween">
      <formula>114.9</formula>
      <formula>134.05</formula>
    </cfRule>
  </conditionalFormatting>
  <conditionalFormatting sqref="G36">
    <cfRule type="cellIs" dxfId="86" priority="97" operator="notBetween">
      <formula>813.9</formula>
      <formula>949.55</formula>
    </cfRule>
  </conditionalFormatting>
  <conditionalFormatting sqref="H36">
    <cfRule type="cellIs" dxfId="85" priority="96" operator="notBetween">
      <formula>0.42</formula>
      <formula>0.49</formula>
    </cfRule>
  </conditionalFormatting>
  <conditionalFormatting sqref="I36">
    <cfRule type="cellIs" dxfId="84" priority="95" operator="notBetween">
      <formula>0.48</formula>
      <formula>0.56</formula>
    </cfRule>
  </conditionalFormatting>
  <conditionalFormatting sqref="J36">
    <cfRule type="cellIs" dxfId="83" priority="94" operator="notBetween">
      <formula>21</formula>
      <formula>24.5</formula>
    </cfRule>
  </conditionalFormatting>
  <conditionalFormatting sqref="K36">
    <cfRule type="cellIs" dxfId="82" priority="59" operator="notBetween">
      <formula>360</formula>
      <formula>420</formula>
    </cfRule>
    <cfRule type="cellIs" priority="93" operator="notBetween">
      <formula>360</formula>
      <formula>420</formula>
    </cfRule>
  </conditionalFormatting>
  <conditionalFormatting sqref="L36">
    <cfRule type="cellIs" dxfId="81" priority="92" operator="notBetween">
      <formula>540</formula>
      <formula>630</formula>
    </cfRule>
  </conditionalFormatting>
  <conditionalFormatting sqref="D45">
    <cfRule type="cellIs" dxfId="80" priority="91" operator="notBetween">
      <formula>27</formula>
      <formula>31.5</formula>
    </cfRule>
  </conditionalFormatting>
  <conditionalFormatting sqref="E45">
    <cfRule type="cellIs" dxfId="79" priority="90" operator="notBetween">
      <formula>27.6</formula>
      <formula>32.2</formula>
    </cfRule>
  </conditionalFormatting>
  <conditionalFormatting sqref="F45">
    <cfRule type="cellIs" dxfId="78" priority="89" operator="notBetween">
      <formula>114.9</formula>
      <formula>134.05</formula>
    </cfRule>
  </conditionalFormatting>
  <conditionalFormatting sqref="G45">
    <cfRule type="cellIs" dxfId="77" priority="88" operator="notBetween">
      <formula>813.9</formula>
      <formula>949.55</formula>
    </cfRule>
  </conditionalFormatting>
  <conditionalFormatting sqref="H45">
    <cfRule type="cellIs" dxfId="76" priority="87" operator="notBetween">
      <formula>0.42</formula>
      <formula>0.49</formula>
    </cfRule>
  </conditionalFormatting>
  <conditionalFormatting sqref="I45">
    <cfRule type="cellIs" dxfId="75" priority="86" operator="notBetween">
      <formula>0.48</formula>
      <formula>0.56</formula>
    </cfRule>
  </conditionalFormatting>
  <conditionalFormatting sqref="J45">
    <cfRule type="cellIs" dxfId="74" priority="85" operator="notBetween">
      <formula>21</formula>
      <formula>24.5</formula>
    </cfRule>
  </conditionalFormatting>
  <conditionalFormatting sqref="L45">
    <cfRule type="cellIs" dxfId="73" priority="84" operator="notBetween">
      <formula>540</formula>
      <formula>630</formula>
    </cfRule>
  </conditionalFormatting>
  <conditionalFormatting sqref="D54">
    <cfRule type="cellIs" dxfId="72" priority="83" operator="notBetween">
      <formula>27</formula>
      <formula>31.5</formula>
    </cfRule>
  </conditionalFormatting>
  <conditionalFormatting sqref="E54">
    <cfRule type="cellIs" dxfId="71" priority="82" operator="notBetween">
      <formula>27.6</formula>
      <formula>32.2</formula>
    </cfRule>
  </conditionalFormatting>
  <conditionalFormatting sqref="F54">
    <cfRule type="cellIs" dxfId="70" priority="81" operator="notBetween">
      <formula>114.9</formula>
      <formula>134.05</formula>
    </cfRule>
  </conditionalFormatting>
  <conditionalFormatting sqref="G54">
    <cfRule type="cellIs" dxfId="69" priority="80" operator="notBetween">
      <formula>813.9</formula>
      <formula>949.55</formula>
    </cfRule>
  </conditionalFormatting>
  <conditionalFormatting sqref="H54">
    <cfRule type="cellIs" dxfId="68" priority="79" operator="notBetween">
      <formula>0.42</formula>
      <formula>0.49</formula>
    </cfRule>
  </conditionalFormatting>
  <conditionalFormatting sqref="I54">
    <cfRule type="cellIs" dxfId="67" priority="78" operator="notBetween">
      <formula>0.48</formula>
      <formula>0.56</formula>
    </cfRule>
  </conditionalFormatting>
  <conditionalFormatting sqref="J54">
    <cfRule type="cellIs" dxfId="66" priority="77" operator="notBetween">
      <formula>21</formula>
      <formula>24.5</formula>
    </cfRule>
  </conditionalFormatting>
  <conditionalFormatting sqref="L54">
    <cfRule type="cellIs" dxfId="65" priority="76" operator="notBetween">
      <formula>540</formula>
      <formula>630</formula>
    </cfRule>
  </conditionalFormatting>
  <conditionalFormatting sqref="D63">
    <cfRule type="cellIs" dxfId="64" priority="75" operator="notBetween">
      <formula>27</formula>
      <formula>31.5</formula>
    </cfRule>
  </conditionalFormatting>
  <conditionalFormatting sqref="E63">
    <cfRule type="cellIs" dxfId="63" priority="74" operator="notBetween">
      <formula>27.6</formula>
      <formula>32.2</formula>
    </cfRule>
  </conditionalFormatting>
  <conditionalFormatting sqref="F63">
    <cfRule type="cellIs" dxfId="62" priority="73" operator="notBetween">
      <formula>114.9</formula>
      <formula>134.05</formula>
    </cfRule>
  </conditionalFormatting>
  <conditionalFormatting sqref="G63">
    <cfRule type="cellIs" dxfId="61" priority="72" operator="notBetween">
      <formula>813.9</formula>
      <formula>949.55</formula>
    </cfRule>
  </conditionalFormatting>
  <conditionalFormatting sqref="H63">
    <cfRule type="cellIs" dxfId="60" priority="71" operator="notBetween">
      <formula>0.42</formula>
      <formula>0.49</formula>
    </cfRule>
  </conditionalFormatting>
  <conditionalFormatting sqref="I63">
    <cfRule type="cellIs" dxfId="59" priority="70" operator="notBetween">
      <formula>0.48</formula>
      <formula>0.56</formula>
    </cfRule>
  </conditionalFormatting>
  <conditionalFormatting sqref="J63">
    <cfRule type="cellIs" dxfId="58" priority="69" operator="notBetween">
      <formula>21</formula>
      <formula>24.5</formula>
    </cfRule>
  </conditionalFormatting>
  <conditionalFormatting sqref="L63">
    <cfRule type="cellIs" dxfId="57" priority="68" operator="notBetween">
      <formula>540</formula>
      <formula>630</formula>
    </cfRule>
  </conditionalFormatting>
  <conditionalFormatting sqref="D72">
    <cfRule type="cellIs" dxfId="56" priority="67" operator="notBetween">
      <formula>27</formula>
      <formula>31.5</formula>
    </cfRule>
  </conditionalFormatting>
  <conditionalFormatting sqref="E72">
    <cfRule type="cellIs" dxfId="55" priority="66" operator="notBetween">
      <formula>27.6</formula>
      <formula>32.2</formula>
    </cfRule>
  </conditionalFormatting>
  <conditionalFormatting sqref="F72">
    <cfRule type="cellIs" dxfId="54" priority="65" operator="notBetween">
      <formula>114.9</formula>
      <formula>134.05</formula>
    </cfRule>
  </conditionalFormatting>
  <conditionalFormatting sqref="G72">
    <cfRule type="cellIs" dxfId="53" priority="64" operator="notBetween">
      <formula>813.9</formula>
      <formula>949.55</formula>
    </cfRule>
  </conditionalFormatting>
  <conditionalFormatting sqref="H72">
    <cfRule type="cellIs" dxfId="52" priority="63" operator="notBetween">
      <formula>0.42</formula>
      <formula>0.49</formula>
    </cfRule>
  </conditionalFormatting>
  <conditionalFormatting sqref="I72">
    <cfRule type="cellIs" dxfId="51" priority="62" operator="notBetween">
      <formula>0.48</formula>
      <formula>0.56</formula>
    </cfRule>
  </conditionalFormatting>
  <conditionalFormatting sqref="J72">
    <cfRule type="cellIs" dxfId="50" priority="61" operator="notBetween">
      <formula>21</formula>
      <formula>24.5</formula>
    </cfRule>
  </conditionalFormatting>
  <conditionalFormatting sqref="L72">
    <cfRule type="cellIs" dxfId="49" priority="60" operator="notBetween">
      <formula>540</formula>
      <formula>630</formula>
    </cfRule>
  </conditionalFormatting>
  <conditionalFormatting sqref="K45">
    <cfRule type="cellIs" dxfId="48" priority="57" operator="notBetween">
      <formula>360</formula>
      <formula>420</formula>
    </cfRule>
    <cfRule type="cellIs" priority="58" operator="notBetween">
      <formula>360</formula>
      <formula>420</formula>
    </cfRule>
  </conditionalFormatting>
  <conditionalFormatting sqref="K54">
    <cfRule type="cellIs" dxfId="47" priority="55" operator="notBetween">
      <formula>360</formula>
      <formula>420</formula>
    </cfRule>
    <cfRule type="cellIs" priority="56" operator="notBetween">
      <formula>360</formula>
      <formula>420</formula>
    </cfRule>
  </conditionalFormatting>
  <conditionalFormatting sqref="K63">
    <cfRule type="cellIs" dxfId="46" priority="53" operator="notBetween">
      <formula>360</formula>
      <formula>420</formula>
    </cfRule>
    <cfRule type="cellIs" priority="54" operator="notBetween">
      <formula>360</formula>
      <formula>420</formula>
    </cfRule>
  </conditionalFormatting>
  <conditionalFormatting sqref="K72">
    <cfRule type="cellIs" dxfId="45" priority="51" operator="notBetween">
      <formula>360</formula>
      <formula>420</formula>
    </cfRule>
    <cfRule type="cellIs" priority="52" operator="notBetween">
      <formula>360</formula>
      <formula>420</formula>
    </cfRule>
  </conditionalFormatting>
  <conditionalFormatting sqref="K83">
    <cfRule type="cellIs" dxfId="44" priority="41" operator="notBetween">
      <formula>360</formula>
      <formula>420</formula>
    </cfRule>
    <cfRule type="cellIs" priority="42" operator="notBetween">
      <formula>360</formula>
      <formula>420</formula>
    </cfRule>
  </conditionalFormatting>
  <conditionalFormatting sqref="D83">
    <cfRule type="cellIs" dxfId="43" priority="50" operator="notBetween">
      <formula>27</formula>
      <formula>31.5</formula>
    </cfRule>
  </conditionalFormatting>
  <conditionalFormatting sqref="E83">
    <cfRule type="cellIs" dxfId="42" priority="49" operator="notBetween">
      <formula>27.6</formula>
      <formula>32.2</formula>
    </cfRule>
  </conditionalFormatting>
  <conditionalFormatting sqref="F83">
    <cfRule type="cellIs" dxfId="41" priority="48" operator="notBetween">
      <formula>114.9</formula>
      <formula>134.05</formula>
    </cfRule>
  </conditionalFormatting>
  <conditionalFormatting sqref="G83">
    <cfRule type="cellIs" dxfId="40" priority="47" operator="notBetween">
      <formula>813.9</formula>
      <formula>949.55</formula>
    </cfRule>
  </conditionalFormatting>
  <conditionalFormatting sqref="H83">
    <cfRule type="cellIs" dxfId="39" priority="46" operator="notBetween">
      <formula>0.42</formula>
      <formula>0.49</formula>
    </cfRule>
  </conditionalFormatting>
  <conditionalFormatting sqref="I83">
    <cfRule type="cellIs" dxfId="38" priority="45" operator="notBetween">
      <formula>0.48</formula>
      <formula>0.56</formula>
    </cfRule>
  </conditionalFormatting>
  <conditionalFormatting sqref="J83">
    <cfRule type="cellIs" dxfId="37" priority="44" operator="notBetween">
      <formula>21</formula>
      <formula>24.5</formula>
    </cfRule>
  </conditionalFormatting>
  <conditionalFormatting sqref="L83">
    <cfRule type="cellIs" dxfId="36" priority="43" operator="notBetween">
      <formula>540</formula>
      <formula>630</formula>
    </cfRule>
  </conditionalFormatting>
  <conditionalFormatting sqref="D91">
    <cfRule type="cellIs" dxfId="35" priority="40" operator="notBetween">
      <formula>27</formula>
      <formula>31.5</formula>
    </cfRule>
  </conditionalFormatting>
  <conditionalFormatting sqref="E91">
    <cfRule type="cellIs" dxfId="34" priority="39" operator="notBetween">
      <formula>27.6</formula>
      <formula>32.2</formula>
    </cfRule>
  </conditionalFormatting>
  <conditionalFormatting sqref="F91">
    <cfRule type="cellIs" dxfId="33" priority="38" operator="notBetween">
      <formula>114.9</formula>
      <formula>134.05</formula>
    </cfRule>
  </conditionalFormatting>
  <conditionalFormatting sqref="G91">
    <cfRule type="cellIs" dxfId="32" priority="37" operator="notBetween">
      <formula>813.9</formula>
      <formula>949.55</formula>
    </cfRule>
  </conditionalFormatting>
  <conditionalFormatting sqref="H91">
    <cfRule type="cellIs" dxfId="31" priority="36" operator="notBetween">
      <formula>0.42</formula>
      <formula>0.49</formula>
    </cfRule>
  </conditionalFormatting>
  <conditionalFormatting sqref="I91">
    <cfRule type="cellIs" dxfId="30" priority="35" operator="notBetween">
      <formula>0.48</formula>
      <formula>0.56</formula>
    </cfRule>
  </conditionalFormatting>
  <conditionalFormatting sqref="J91">
    <cfRule type="cellIs" dxfId="29" priority="34" operator="notBetween">
      <formula>21</formula>
      <formula>24.5</formula>
    </cfRule>
  </conditionalFormatting>
  <conditionalFormatting sqref="L91">
    <cfRule type="cellIs" dxfId="28" priority="33" operator="notBetween">
      <formula>540</formula>
      <formula>630</formula>
    </cfRule>
  </conditionalFormatting>
  <conditionalFormatting sqref="K91">
    <cfRule type="cellIs" dxfId="27" priority="31" operator="notBetween">
      <formula>360</formula>
      <formula>420</formula>
    </cfRule>
    <cfRule type="cellIs" priority="32" operator="notBetween">
      <formula>360</formula>
      <formula>420</formula>
    </cfRule>
  </conditionalFormatting>
  <conditionalFormatting sqref="D100">
    <cfRule type="cellIs" dxfId="26" priority="30" operator="notBetween">
      <formula>27</formula>
      <formula>31.5</formula>
    </cfRule>
  </conditionalFormatting>
  <conditionalFormatting sqref="E100">
    <cfRule type="cellIs" dxfId="25" priority="29" operator="notBetween">
      <formula>27.6</formula>
      <formula>32.2</formula>
    </cfRule>
  </conditionalFormatting>
  <conditionalFormatting sqref="F100">
    <cfRule type="cellIs" dxfId="24" priority="28" operator="notBetween">
      <formula>114.9</formula>
      <formula>134.05</formula>
    </cfRule>
  </conditionalFormatting>
  <conditionalFormatting sqref="G100">
    <cfRule type="cellIs" dxfId="23" priority="27" operator="notBetween">
      <formula>813.9</formula>
      <formula>949.55</formula>
    </cfRule>
  </conditionalFormatting>
  <conditionalFormatting sqref="H100">
    <cfRule type="cellIs" dxfId="22" priority="26" operator="notBetween">
      <formula>0.42</formula>
      <formula>0.49</formula>
    </cfRule>
  </conditionalFormatting>
  <conditionalFormatting sqref="I100">
    <cfRule type="cellIs" dxfId="21" priority="25" operator="notBetween">
      <formula>0.48</formula>
      <formula>0.56</formula>
    </cfRule>
  </conditionalFormatting>
  <conditionalFormatting sqref="J100">
    <cfRule type="cellIs" dxfId="20" priority="24" operator="notBetween">
      <formula>21</formula>
      <formula>24.5</formula>
    </cfRule>
  </conditionalFormatting>
  <conditionalFormatting sqref="L100">
    <cfRule type="cellIs" dxfId="19" priority="23" operator="notBetween">
      <formula>540</formula>
      <formula>630</formula>
    </cfRule>
  </conditionalFormatting>
  <conditionalFormatting sqref="K100">
    <cfRule type="cellIs" dxfId="18" priority="21" operator="notBetween">
      <formula>360</formula>
      <formula>420</formula>
    </cfRule>
    <cfRule type="cellIs" priority="22" operator="notBetween">
      <formula>360</formula>
      <formula>420</formula>
    </cfRule>
  </conditionalFormatting>
  <conditionalFormatting sqref="D108">
    <cfRule type="cellIs" dxfId="17" priority="20" operator="notBetween">
      <formula>27</formula>
      <formula>31.5</formula>
    </cfRule>
  </conditionalFormatting>
  <conditionalFormatting sqref="E108">
    <cfRule type="cellIs" dxfId="16" priority="19" operator="notBetween">
      <formula>27.6</formula>
      <formula>32.2</formula>
    </cfRule>
  </conditionalFormatting>
  <conditionalFormatting sqref="F108">
    <cfRule type="cellIs" dxfId="15" priority="18" operator="notBetween">
      <formula>114.9</formula>
      <formula>134.05</formula>
    </cfRule>
  </conditionalFormatting>
  <conditionalFormatting sqref="G108">
    <cfRule type="cellIs" dxfId="14" priority="17" operator="notBetween">
      <formula>813.9</formula>
      <formula>949.55</formula>
    </cfRule>
  </conditionalFormatting>
  <conditionalFormatting sqref="H108">
    <cfRule type="cellIs" dxfId="13" priority="16" operator="notBetween">
      <formula>0.42</formula>
      <formula>0.49</formula>
    </cfRule>
  </conditionalFormatting>
  <conditionalFormatting sqref="I108">
    <cfRule type="cellIs" dxfId="12" priority="15" operator="notBetween">
      <formula>0.48</formula>
      <formula>0.56</formula>
    </cfRule>
  </conditionalFormatting>
  <conditionalFormatting sqref="J108">
    <cfRule type="cellIs" dxfId="11" priority="14" operator="notBetween">
      <formula>21</formula>
      <formula>24.5</formula>
    </cfRule>
  </conditionalFormatting>
  <conditionalFormatting sqref="L108">
    <cfRule type="cellIs" dxfId="10" priority="13" operator="notBetween">
      <formula>540</formula>
      <formula>630</formula>
    </cfRule>
  </conditionalFormatting>
  <conditionalFormatting sqref="K108">
    <cfRule type="cellIs" dxfId="9" priority="11" operator="notBetween">
      <formula>360</formula>
      <formula>420</formula>
    </cfRule>
    <cfRule type="cellIs" priority="12" operator="notBetween">
      <formula>360</formula>
      <formula>420</formula>
    </cfRule>
  </conditionalFormatting>
  <conditionalFormatting sqref="K118">
    <cfRule type="cellIs" dxfId="8" priority="1" operator="notBetween">
      <formula>360</formula>
      <formula>420</formula>
    </cfRule>
    <cfRule type="cellIs" priority="2" operator="notBetween">
      <formula>360</formula>
      <formula>420</formula>
    </cfRule>
  </conditionalFormatting>
  <conditionalFormatting sqref="D118">
    <cfRule type="cellIs" dxfId="7" priority="10" operator="notBetween">
      <formula>27</formula>
      <formula>31.5</formula>
    </cfRule>
  </conditionalFormatting>
  <conditionalFormatting sqref="E118">
    <cfRule type="cellIs" dxfId="6" priority="9" operator="notBetween">
      <formula>27.6</formula>
      <formula>32.2</formula>
    </cfRule>
  </conditionalFormatting>
  <conditionalFormatting sqref="F118">
    <cfRule type="cellIs" dxfId="5" priority="8" operator="notBetween">
      <formula>114.9</formula>
      <formula>134.05</formula>
    </cfRule>
  </conditionalFormatting>
  <conditionalFormatting sqref="G118">
    <cfRule type="cellIs" dxfId="4" priority="7" operator="notBetween">
      <formula>813.9</formula>
      <formula>949.55</formula>
    </cfRule>
  </conditionalFormatting>
  <conditionalFormatting sqref="H118">
    <cfRule type="cellIs" dxfId="3" priority="6" operator="notBetween">
      <formula>0.42</formula>
      <formula>0.49</formula>
    </cfRule>
  </conditionalFormatting>
  <conditionalFormatting sqref="I118">
    <cfRule type="cellIs" dxfId="2" priority="5" operator="notBetween">
      <formula>0.48</formula>
      <formula>0.56</formula>
    </cfRule>
  </conditionalFormatting>
  <conditionalFormatting sqref="J118">
    <cfRule type="cellIs" dxfId="1" priority="4" operator="notBetween">
      <formula>21</formula>
      <formula>24.5</formula>
    </cfRule>
  </conditionalFormatting>
  <conditionalFormatting sqref="L118">
    <cfRule type="cellIs" dxfId="0" priority="3" operator="notBetween">
      <formula>540</formula>
      <formula>630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Региональное меню</vt:lpstr>
      <vt:lpstr>Лист1</vt:lpstr>
      <vt:lpstr>Лист1!Область_печати</vt:lpstr>
      <vt:lpstr>'Региональное меню'!Область_печати</vt:lpstr>
    </vt:vector>
  </TitlesOfParts>
  <Company>MacBook Pro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User</cp:lastModifiedBy>
  <cp:revision/>
  <cp:lastPrinted>2021-12-23T07:45:04Z</cp:lastPrinted>
  <dcterms:created xsi:type="dcterms:W3CDTF">2020-09-15T06:15:04Z</dcterms:created>
  <dcterms:modified xsi:type="dcterms:W3CDTF">2022-01-11T05:30:57Z</dcterms:modified>
</cp:coreProperties>
</file>